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wdcloud-my.sharepoint.com/personal/ethan_burch_acwd_com/Documents/Documents/Civic Plus/Rates Process/"/>
    </mc:Choice>
  </mc:AlternateContent>
  <xr:revisionPtr revIDLastSave="0" documentId="8_{6E91AEE7-C281-4DCE-A999-22D622C6F030}" xr6:coauthVersionLast="47" xr6:coauthVersionMax="47" xr10:uidLastSave="{00000000-0000-0000-0000-000000000000}"/>
  <bookViews>
    <workbookView xWindow="-108" yWindow="-108" windowWidth="23256" windowHeight="12576" xr2:uid="{0153E294-BC28-4A4D-B678-4FB5945C4B88}"/>
  </bookViews>
  <sheets>
    <sheet name="2023 CIP Adopted Budget" sheetId="5" r:id="rId1"/>
  </sheets>
  <definedNames>
    <definedName name="budget" localSheetId="0" hidden="1">{#N/A,#N/A,FALSE,"NON DEPT.";#N/A,#N/A,FALSE,"MAYOR";#N/A,#N/A,FALSE,"COUNCIL";#N/A,#N/A,FALSE,"ADMINISTRATION";#N/A,#N/A,FALSE,"FINANCE";#N/A,#N/A,FALSE,"HUMAN RESOURCES";#N/A,#N/A,FALSE,"PLAN &amp; ZNG &amp; BLD INSP";#N/A,#N/A,FALSE,"ELECTIONS";#N/A,#N/A,FALSE,"LEGAL";#N/A,#N/A,FALSE,"CITY COURT";#N/A,#N/A,FALSE,"LIBRARY";#N/A,#N/A,FALSE,"FACIL. MAINT.";#N/A,#N/A,FALSE,"ENGINEERING";#N/A,#N/A,FALSE,"ANIMAL CONTR.";#N/A,#N/A,FALSE,"REC. PROGRAMS";#N/A,#N/A,FALSE,"REC. PARKS";#N/A,#N/A,FALSE,"GOLF COURSE";#N/A,#N/A,FALSE,"SEWER";#N/A,#N/A,FALSE,"WWTP";#N/A,#N/A,FALSE,"PRE-TREAT.";#N/A,#N/A,FALSE,"WATER";#N/A,#N/A,FALSE,"SANITATION";#N/A,#N/A,FALSE,"CEMETERY";#N/A,#N/A,FALSE,"FLEET MANAGEMENT";#N/A,#N/A,FALSE,"POLICE";#N/A,#N/A,FALSE,"FIRE";#N/A,#N/A,FALSE,"STREETS";#N/A,#N/A,FALSE,"ENVIRONMENTAL PROGRAMS"}</definedName>
    <definedName name="budget" hidden="1">{#N/A,#N/A,FALSE,"NON DEPT.";#N/A,#N/A,FALSE,"MAYOR";#N/A,#N/A,FALSE,"COUNCIL";#N/A,#N/A,FALSE,"ADMINISTRATION";#N/A,#N/A,FALSE,"FINANCE";#N/A,#N/A,FALSE,"HUMAN RESOURCES";#N/A,#N/A,FALSE,"PLAN &amp; ZNG &amp; BLD INSP";#N/A,#N/A,FALSE,"ELECTIONS";#N/A,#N/A,FALSE,"LEGAL";#N/A,#N/A,FALSE,"CITY COURT";#N/A,#N/A,FALSE,"LIBRARY";#N/A,#N/A,FALSE,"FACIL. MAINT.";#N/A,#N/A,FALSE,"ENGINEERING";#N/A,#N/A,FALSE,"ANIMAL CONTR.";#N/A,#N/A,FALSE,"REC. PROGRAMS";#N/A,#N/A,FALSE,"REC. PARKS";#N/A,#N/A,FALSE,"GOLF COURSE";#N/A,#N/A,FALSE,"SEWER";#N/A,#N/A,FALSE,"WWTP";#N/A,#N/A,FALSE,"PRE-TREAT.";#N/A,#N/A,FALSE,"WATER";#N/A,#N/A,FALSE,"SANITATION";#N/A,#N/A,FALSE,"CEMETERY";#N/A,#N/A,FALSE,"FLEET MANAGEMENT";#N/A,#N/A,FALSE,"POLICE";#N/A,#N/A,FALSE,"FIRE";#N/A,#N/A,FALSE,"STREETS";#N/A,#N/A,FALSE,"ENVIRONMENTAL PROGRAMS"}</definedName>
    <definedName name="debt2" localSheetId="0" hidden="1">{#N/A,#N/A,FALSE,"NON DEPT.";#N/A,#N/A,FALSE,"MAYOR";#N/A,#N/A,FALSE,"COUNCIL";#N/A,#N/A,FALSE,"ADMINISTRATION";#N/A,#N/A,FALSE,"FINANCE";#N/A,#N/A,FALSE,"HUMAN RESOURCES";#N/A,#N/A,FALSE,"PLAN &amp; ZNG &amp; BLD INSP";#N/A,#N/A,FALSE,"ELECTIONS";#N/A,#N/A,FALSE,"LEGAL";#N/A,#N/A,FALSE,"CITY COURT";#N/A,#N/A,FALSE,"LIBRARY";#N/A,#N/A,FALSE,"FACIL. MAINT.";#N/A,#N/A,FALSE,"ENGINEERING";#N/A,#N/A,FALSE,"ANIMAL CONTR.";#N/A,#N/A,FALSE,"REC. PROGRAMS";#N/A,#N/A,FALSE,"REC. PARKS";#N/A,#N/A,FALSE,"GOLF COURSE";#N/A,#N/A,FALSE,"SEWER";#N/A,#N/A,FALSE,"WWTP";#N/A,#N/A,FALSE,"PRE-TREAT.";#N/A,#N/A,FALSE,"WATER";#N/A,#N/A,FALSE,"SANITATION";#N/A,#N/A,FALSE,"CEMETERY";#N/A,#N/A,FALSE,"FLEET MANAGEMENT";#N/A,#N/A,FALSE,"POLICE";#N/A,#N/A,FALSE,"FIRE";#N/A,#N/A,FALSE,"STREETS";#N/A,#N/A,FALSE,"ENVIRONMENTAL PROGRAMS"}</definedName>
    <definedName name="debt2" hidden="1">{#N/A,#N/A,FALSE,"NON DEPT.";#N/A,#N/A,FALSE,"MAYOR";#N/A,#N/A,FALSE,"COUNCIL";#N/A,#N/A,FALSE,"ADMINISTRATION";#N/A,#N/A,FALSE,"FINANCE";#N/A,#N/A,FALSE,"HUMAN RESOURCES";#N/A,#N/A,FALSE,"PLAN &amp; ZNG &amp; BLD INSP";#N/A,#N/A,FALSE,"ELECTIONS";#N/A,#N/A,FALSE,"LEGAL";#N/A,#N/A,FALSE,"CITY COURT";#N/A,#N/A,FALSE,"LIBRARY";#N/A,#N/A,FALSE,"FACIL. MAINT.";#N/A,#N/A,FALSE,"ENGINEERING";#N/A,#N/A,FALSE,"ANIMAL CONTR.";#N/A,#N/A,FALSE,"REC. PROGRAMS";#N/A,#N/A,FALSE,"REC. PARKS";#N/A,#N/A,FALSE,"GOLF COURSE";#N/A,#N/A,FALSE,"SEWER";#N/A,#N/A,FALSE,"WWTP";#N/A,#N/A,FALSE,"PRE-TREAT.";#N/A,#N/A,FALSE,"WATER";#N/A,#N/A,FALSE,"SANITATION";#N/A,#N/A,FALSE,"CEMETERY";#N/A,#N/A,FALSE,"FLEET MANAGEMENT";#N/A,#N/A,FALSE,"POLICE";#N/A,#N/A,FALSE,"FIRE";#N/A,#N/A,FALSE,"STREETS";#N/A,#N/A,FALSE,"ENVIRONMENTAL PROGRAMS"}</definedName>
    <definedName name="ll" hidden="1">{#N/A,#N/A,FALSE,"NON DEPT.";#N/A,#N/A,FALSE,"MAYOR";#N/A,#N/A,FALSE,"COUNCIL";#N/A,#N/A,FALSE,"ADMINISTRATION";#N/A,#N/A,FALSE,"FINANCE";#N/A,#N/A,FALSE,"HUMAN RESOURCES";#N/A,#N/A,FALSE,"PLAN &amp; ZNG &amp; BLD INSP";#N/A,#N/A,FALSE,"ELECTIONS";#N/A,#N/A,FALSE,"LEGAL";#N/A,#N/A,FALSE,"CITY COURT";#N/A,#N/A,FALSE,"LIBRARY";#N/A,#N/A,FALSE,"FACIL. MAINT.";#N/A,#N/A,FALSE,"ENGINEERING";#N/A,#N/A,FALSE,"ANIMAL CONTR.";#N/A,#N/A,FALSE,"REC. PROGRAMS";#N/A,#N/A,FALSE,"REC. PARKS";#N/A,#N/A,FALSE,"GOLF COURSE";#N/A,#N/A,FALSE,"SEWER";#N/A,#N/A,FALSE,"WWTP";#N/A,#N/A,FALSE,"PRE-TREAT.";#N/A,#N/A,FALSE,"WATER";#N/A,#N/A,FALSE,"SANITATION";#N/A,#N/A,FALSE,"CEMETERY";#N/A,#N/A,FALSE,"FLEET MANAGEMENT";#N/A,#N/A,FALSE,"POLICE";#N/A,#N/A,FALSE,"FIRE";#N/A,#N/A,FALSE,"STREETS";#N/A,#N/A,FALSE,"ENVIRONMENTAL PROGRAMS"}</definedName>
    <definedName name="SValue">#REF!</definedName>
    <definedName name="wrn.Budget." localSheetId="0" hidden="1">{#N/A,#N/A,FALSE,"NON DEPT.";#N/A,#N/A,FALSE,"MAYOR";#N/A,#N/A,FALSE,"COUNCIL";#N/A,#N/A,FALSE,"ADMINISTRATION";#N/A,#N/A,FALSE,"FINANCE";#N/A,#N/A,FALSE,"HUMAN RESOURCES";#N/A,#N/A,FALSE,"PLAN &amp; ZNG &amp; BLD INSP";#N/A,#N/A,FALSE,"ELECTIONS";#N/A,#N/A,FALSE,"LEGAL";#N/A,#N/A,FALSE,"CITY COURT";#N/A,#N/A,FALSE,"LIBRARY";#N/A,#N/A,FALSE,"FACIL. MAINT.";#N/A,#N/A,FALSE,"ENGINEERING";#N/A,#N/A,FALSE,"ANIMAL CONTR.";#N/A,#N/A,FALSE,"REC. PROGRAMS";#N/A,#N/A,FALSE,"REC. PARKS";#N/A,#N/A,FALSE,"GOLF COURSE";#N/A,#N/A,FALSE,"SEWER";#N/A,#N/A,FALSE,"WWTP";#N/A,#N/A,FALSE,"PRE-TREAT.";#N/A,#N/A,FALSE,"WATER";#N/A,#N/A,FALSE,"SANITATION";#N/A,#N/A,FALSE,"CEMETERY";#N/A,#N/A,FALSE,"FLEET MANAGEMENT";#N/A,#N/A,FALSE,"POLICE";#N/A,#N/A,FALSE,"FIRE";#N/A,#N/A,FALSE,"STREETS";#N/A,#N/A,FALSE,"ENVIRONMENTAL PROGRAMS"}</definedName>
    <definedName name="wrn.Budget." hidden="1">{#N/A,#N/A,FALSE,"NON DEPT.";#N/A,#N/A,FALSE,"MAYOR";#N/A,#N/A,FALSE,"COUNCIL";#N/A,#N/A,FALSE,"ADMINISTRATION";#N/A,#N/A,FALSE,"FINANCE";#N/A,#N/A,FALSE,"HUMAN RESOURCES";#N/A,#N/A,FALSE,"PLAN &amp; ZNG &amp; BLD INSP";#N/A,#N/A,FALSE,"ELECTIONS";#N/A,#N/A,FALSE,"LEGAL";#N/A,#N/A,FALSE,"CITY COURT";#N/A,#N/A,FALSE,"LIBRARY";#N/A,#N/A,FALSE,"FACIL. MAINT.";#N/A,#N/A,FALSE,"ENGINEERING";#N/A,#N/A,FALSE,"ANIMAL CONTR.";#N/A,#N/A,FALSE,"REC. PROGRAMS";#N/A,#N/A,FALSE,"REC. PARKS";#N/A,#N/A,FALSE,"GOLF COURSE";#N/A,#N/A,FALSE,"SEWER";#N/A,#N/A,FALSE,"WWTP";#N/A,#N/A,FALSE,"PRE-TREAT.";#N/A,#N/A,FALSE,"WATER";#N/A,#N/A,FALSE,"SANITATION";#N/A,#N/A,FALSE,"CEMETERY";#N/A,#N/A,FALSE,"FLEET MANAGEMENT";#N/A,#N/A,FALSE,"POLICE";#N/A,#N/A,FALSE,"FIRE";#N/A,#N/A,FALSE,"STREETS";#N/A,#N/A,FALSE,"ENVIRONMENTAL PROGRAMS"}</definedName>
    <definedName name="wrn.Dept.._.Summary." localSheetId="0" hidden="1">{#N/A,#N/A,FALSE,"Blank1";#N/A,#N/A,FALSE,"SCHED. 1";#N/A,#N/A,FALSE,"SCHED. 2";#N/A,#N/A,FALSE,"SCHED. 3";#N/A,#N/A,FALSE,"SCHED. 4";#N/A,#N/A,FALSE,"SCHED. 5";#N/A,#N/A,FALSE,"Blank2";#N/A,#N/A,FALSE,"GF";#N/A,#N/A,FALSE,"NONDEPT. SUMM";#N/A,#N/A,FALSE,"MAYORSUMM";#N/A,#N/A,FALSE,"COUNCILSUMM";#N/A,#N/A,FALSE,"ADMINSUMM";#N/A,#N/A,FALSE,"FINSUMM";#N/A,#N/A,FALSE,"HRSUMM";#N/A,#N/A,FALSE,"PZBLDGSUMM";#N/A,#N/A,FALSE,"ELECTIONSUMM";#N/A,#N/A,FALSE,"CITYATTORNEYSUMM";#N/A,#N/A,FALSE,"CITYCOURTSUMM";#N/A,#N/A,FALSE,"LIBRARYSUMM";#N/A,#N/A,FALSE,"FACIL.MAINT.SUMM";#N/A,#N/A,FALSE,"ENGINEERINGSUMM";#N/A,#N/A,FALSE,"ANIMAL CONTR.SUMM";#N/A,#N/A,FALSE,"REC. PROGRAMSSUMM";#N/A,#N/A,FALSE,"REC. PARKSSUMM";#N/A,#N/A,FALSE,"GOLF COURSESUMM";#N/A,#N/A,FALSE,"EF";#N/A,#N/A,FALSE,"SEWERSUMM";#N/A,#N/A,FALSE,"WWTPSUMM";#N/A,#N/A,FALSE,"PRE-TREAT.SUMM";#N/A,#N/A,FALSE,"WATERSUMM";#N/A,#N/A,FALSE,"SANITATIONSUMM";#N/A,#N/A,FALSE,"CEMETERYSUMM";#N/A,#N/A,FALSE,"ISF";#N/A,#N/A,FALSE,"FLEET MANAGEMENTSUMM";#N/A,#N/A,FALSE,"SRF";#N/A,#N/A,FALSE,"POLICESUMM";#N/A,#N/A,FALSE,"FIRESUMM";#N/A,#N/A,FALSE,"STREETSSUMM";#N/A,#N/A,FALSE,"ENVIRONMENTALSUMM";#N/A,#N/A,FALSE,"Blank4";#N/A,#N/A,FALSE,"APPDX 1 - SALARIES";#N/A,#N/A,FALSE,"APPDX 2 - ADMIN. ALLOC";#N/A,#N/A,FALSE,"APPDX 3 - REVENUE";#N/A,#N/A,FALSE,"APPDX 4 - FLEET ALLOC."}</definedName>
    <definedName name="wrn.Dept.._.Summary." hidden="1">{#N/A,#N/A,FALSE,"Blank1";#N/A,#N/A,FALSE,"SCHED. 1";#N/A,#N/A,FALSE,"SCHED. 2";#N/A,#N/A,FALSE,"SCHED. 3";#N/A,#N/A,FALSE,"SCHED. 4";#N/A,#N/A,FALSE,"SCHED. 5";#N/A,#N/A,FALSE,"Blank2";#N/A,#N/A,FALSE,"GF";#N/A,#N/A,FALSE,"NONDEPT. SUMM";#N/A,#N/A,FALSE,"MAYORSUMM";#N/A,#N/A,FALSE,"COUNCILSUMM";#N/A,#N/A,FALSE,"ADMINSUMM";#N/A,#N/A,FALSE,"FINSUMM";#N/A,#N/A,FALSE,"HRSUMM";#N/A,#N/A,FALSE,"PZBLDGSUMM";#N/A,#N/A,FALSE,"ELECTIONSUMM";#N/A,#N/A,FALSE,"CITYATTORNEYSUMM";#N/A,#N/A,FALSE,"CITYCOURTSUMM";#N/A,#N/A,FALSE,"LIBRARYSUMM";#N/A,#N/A,FALSE,"FACIL.MAINT.SUMM";#N/A,#N/A,FALSE,"ENGINEERINGSUMM";#N/A,#N/A,FALSE,"ANIMAL CONTR.SUMM";#N/A,#N/A,FALSE,"REC. PROGRAMSSUMM";#N/A,#N/A,FALSE,"REC. PARKSSUMM";#N/A,#N/A,FALSE,"GOLF COURSESUMM";#N/A,#N/A,FALSE,"EF";#N/A,#N/A,FALSE,"SEWERSUMM";#N/A,#N/A,FALSE,"WWTPSUMM";#N/A,#N/A,FALSE,"PRE-TREAT.SUMM";#N/A,#N/A,FALSE,"WATERSUMM";#N/A,#N/A,FALSE,"SANITATIONSUMM";#N/A,#N/A,FALSE,"CEMETERYSUMM";#N/A,#N/A,FALSE,"ISF";#N/A,#N/A,FALSE,"FLEET MANAGEMENTSUMM";#N/A,#N/A,FALSE,"SRF";#N/A,#N/A,FALSE,"POLICESUMM";#N/A,#N/A,FALSE,"FIRESUMM";#N/A,#N/A,FALSE,"STREETSSUMM";#N/A,#N/A,FALSE,"ENVIRONMENTALSUMM";#N/A,#N/A,FALSE,"Blank4";#N/A,#N/A,FALSE,"APPDX 1 - SALARIES";#N/A,#N/A,FALSE,"APPDX 2 - ADMIN. ALLOC";#N/A,#N/A,FALSE,"APPDX 3 - REVENUE";#N/A,#N/A,FALSE,"APPDX 4 - FLEET ALLOC."}</definedName>
    <definedName name="wrn.Prelim." localSheetId="0" hidden="1">{"Exh. 1",#N/A,FALSE,"Current";"Exh. 3",#N/A,FALSE,"SrvChrg";"Exh. 4",#N/A,FALSE,"CumUse";"Exh. 5",#N/A,FALSE,"UseChar";"Exh. 6",#N/A,FALSE,"Current";"Exh. 7",#N/A,FALSE,"UseChar";"Exh. 8",#N/A,FALSE,"List"}</definedName>
    <definedName name="wrn.Prelim." hidden="1">{"Exh. 1",#N/A,FALSE,"Current";"Exh. 3",#N/A,FALSE,"SrvChrg";"Exh. 4",#N/A,FALSE,"CumUse";"Exh. 5",#N/A,FALSE,"UseChar";"Exh. 6",#N/A,FALSE,"Current";"Exh. 7",#N/A,FALSE,"UseChar";"Exh. 8",#N/A,FALSE,"List"}</definedName>
    <definedName name="wrn.Rate._.Calcs." localSheetId="0" hidden="1">{"Budget",#N/A,FALSE,"Budget";"Water Use",#N/A,FALSE,"Use";"Accounts",#N/A,FALSE,"Accts";"ServChrg",#N/A,FALSE,"SrvChrg";"MultMtr",#N/A,FALSE,"MMtr";"Minimum",#N/A,FALSE,"Rates";"Uniform",#N/A,FALSE,"Rates";"Lifeline",#N/A,FALSE,"Rates";"Conserv",#N/A,FALSE,"Rates";"ElevSurch",#N/A,FALSE,"Elev";"Fin Plan",#N/A,FALSE,"FinPlan"}</definedName>
    <definedName name="wrn.Rate._.Calcs." hidden="1">{"Budget",#N/A,FALSE,"Budget";"Water Use",#N/A,FALSE,"Use";"Accounts",#N/A,FALSE,"Accts";"ServChrg",#N/A,FALSE,"SrvChrg";"MultMtr",#N/A,FALSE,"MMtr";"Minimum",#N/A,FALSE,"Rates";"Uniform",#N/A,FALSE,"Rates";"Lifeline",#N/A,FALSE,"Rates";"Conserv",#N/A,FALSE,"Rates";"ElevSurch",#N/A,FALSE,"Elev";"Fin Plan",#N/A,FALSE,"FinPlan"}</definedName>
    <definedName name="wrn.Report._.Exhibits." localSheetId="0" hidden="1">{"Exh 8",#N/A,FALSE,"UseChar";"Exh 7",#N/A,FALSE,"Alts";"Exh 5",#N/A,FALSE,"UseChar"}</definedName>
    <definedName name="wrn.Report._.Exhibits." hidden="1">{"Exh 8",#N/A,FALSE,"UseChar";"Exh 7",#N/A,FALSE,"Alts";"Exh 5",#N/A,FALSE,"UseChar"}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5" l="1"/>
  <c r="AP217" i="5"/>
  <c r="AO217" i="5"/>
  <c r="AN217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Q217" i="5"/>
  <c r="AP215" i="5"/>
  <c r="AO215" i="5"/>
  <c r="AN215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AS214" i="5"/>
  <c r="AR214" i="5"/>
  <c r="AQ214" i="5"/>
  <c r="AN213" i="5" a="1"/>
  <c r="AN213" i="5" s="1"/>
  <c r="AJ213" i="5" a="1"/>
  <c r="AJ213" i="5" s="1"/>
  <c r="AF213" i="5" a="1"/>
  <c r="AF213" i="5" s="1"/>
  <c r="AB213" i="5" a="1"/>
  <c r="AB213" i="5" s="1"/>
  <c r="AA213" i="5" a="1"/>
  <c r="AA213" i="5" s="1"/>
  <c r="Z213" i="5" a="1"/>
  <c r="Z213" i="5" s="1"/>
  <c r="X213" i="5" a="1"/>
  <c r="X213" i="5" s="1"/>
  <c r="V213" i="5" a="1"/>
  <c r="V213" i="5" s="1"/>
  <c r="Q213" i="5" a="1"/>
  <c r="Q213" i="5" s="1"/>
  <c r="AN212" i="5"/>
  <c r="AJ212" i="5"/>
  <c r="AJ216" i="5" s="1"/>
  <c r="AJ218" i="5" s="1"/>
  <c r="AF212" i="5"/>
  <c r="AB212" i="5"/>
  <c r="AB216" i="5" s="1"/>
  <c r="AB218" i="5" s="1"/>
  <c r="AA212" i="5"/>
  <c r="AA216" i="5" s="1"/>
  <c r="AA218" i="5" s="1"/>
  <c r="Z212" i="5"/>
  <c r="X212" i="5"/>
  <c r="X216" i="5" s="1"/>
  <c r="X218" i="5" s="1"/>
  <c r="AT207" i="5"/>
  <c r="AS207" i="5"/>
  <c r="AR207" i="5"/>
  <c r="AQ207" i="5"/>
  <c r="AT206" i="5"/>
  <c r="AS206" i="5"/>
  <c r="AR206" i="5"/>
  <c r="AQ206" i="5"/>
  <c r="O206" i="5"/>
  <c r="AT205" i="5"/>
  <c r="AS205" i="5"/>
  <c r="AR205" i="5"/>
  <c r="AQ205" i="5"/>
  <c r="O205" i="5"/>
  <c r="AT204" i="5"/>
  <c r="AS204" i="5"/>
  <c r="AR204" i="5"/>
  <c r="AQ204" i="5"/>
  <c r="O204" i="5"/>
  <c r="AT203" i="5"/>
  <c r="AS203" i="5"/>
  <c r="AR203" i="5"/>
  <c r="AQ203" i="5"/>
  <c r="O203" i="5"/>
  <c r="AT202" i="5"/>
  <c r="AS202" i="5"/>
  <c r="AR202" i="5"/>
  <c r="AQ202" i="5"/>
  <c r="O202" i="5"/>
  <c r="AT201" i="5"/>
  <c r="AS201" i="5"/>
  <c r="AR201" i="5"/>
  <c r="AQ201" i="5"/>
  <c r="O201" i="5"/>
  <c r="AT200" i="5"/>
  <c r="AS200" i="5"/>
  <c r="AR200" i="5"/>
  <c r="AQ200" i="5"/>
  <c r="O200" i="5"/>
  <c r="AT199" i="5"/>
  <c r="AS199" i="5"/>
  <c r="AR199" i="5"/>
  <c r="AQ199" i="5"/>
  <c r="O199" i="5"/>
  <c r="AT198" i="5"/>
  <c r="AS198" i="5"/>
  <c r="AR198" i="5"/>
  <c r="AQ198" i="5"/>
  <c r="O198" i="5"/>
  <c r="AT197" i="5"/>
  <c r="AS197" i="5"/>
  <c r="AR197" i="5"/>
  <c r="AQ197" i="5"/>
  <c r="O197" i="5"/>
  <c r="AT196" i="5"/>
  <c r="AS196" i="5"/>
  <c r="AR196" i="5"/>
  <c r="AQ196" i="5"/>
  <c r="O196" i="5"/>
  <c r="AT195" i="5"/>
  <c r="AS195" i="5"/>
  <c r="AR195" i="5"/>
  <c r="AQ195" i="5"/>
  <c r="O195" i="5"/>
  <c r="AT194" i="5"/>
  <c r="AS194" i="5"/>
  <c r="AR194" i="5"/>
  <c r="AQ194" i="5"/>
  <c r="O194" i="5"/>
  <c r="AT193" i="5"/>
  <c r="AS193" i="5"/>
  <c r="AR193" i="5"/>
  <c r="AQ193" i="5"/>
  <c r="AA193" i="5"/>
  <c r="O193" i="5"/>
  <c r="AT192" i="5"/>
  <c r="AS192" i="5"/>
  <c r="AR192" i="5"/>
  <c r="AQ192" i="5"/>
  <c r="O192" i="5"/>
  <c r="AT191" i="5"/>
  <c r="AS191" i="5"/>
  <c r="AR191" i="5"/>
  <c r="AQ191" i="5"/>
  <c r="O191" i="5"/>
  <c r="AT190" i="5"/>
  <c r="AS190" i="5"/>
  <c r="AR190" i="5"/>
  <c r="AQ190" i="5"/>
  <c r="O190" i="5"/>
  <c r="AT189" i="5"/>
  <c r="AS189" i="5"/>
  <c r="AR189" i="5"/>
  <c r="AQ189" i="5"/>
  <c r="O189" i="5"/>
  <c r="AT188" i="5"/>
  <c r="AS188" i="5"/>
  <c r="AR188" i="5"/>
  <c r="AQ188" i="5"/>
  <c r="O188" i="5"/>
  <c r="AT187" i="5"/>
  <c r="AS187" i="5"/>
  <c r="AR187" i="5"/>
  <c r="AQ187" i="5"/>
  <c r="O187" i="5"/>
  <c r="AT186" i="5"/>
  <c r="AS186" i="5"/>
  <c r="AR186" i="5"/>
  <c r="AQ186" i="5"/>
  <c r="O186" i="5"/>
  <c r="AT185" i="5"/>
  <c r="AS185" i="5"/>
  <c r="AR185" i="5"/>
  <c r="AQ185" i="5"/>
  <c r="O185" i="5"/>
  <c r="AT184" i="5"/>
  <c r="AS184" i="5"/>
  <c r="AR184" i="5"/>
  <c r="AQ184" i="5"/>
  <c r="O184" i="5"/>
  <c r="AT183" i="5"/>
  <c r="AS183" i="5"/>
  <c r="AR183" i="5"/>
  <c r="AQ183" i="5"/>
  <c r="O183" i="5"/>
  <c r="AT182" i="5"/>
  <c r="AS182" i="5"/>
  <c r="AR182" i="5"/>
  <c r="AQ182" i="5"/>
  <c r="O182" i="5"/>
  <c r="AT181" i="5"/>
  <c r="AS181" i="5"/>
  <c r="AR181" i="5"/>
  <c r="AQ181" i="5"/>
  <c r="O181" i="5"/>
  <c r="AT180" i="5"/>
  <c r="AS180" i="5"/>
  <c r="AR180" i="5"/>
  <c r="AQ180" i="5"/>
  <c r="O180" i="5"/>
  <c r="AT179" i="5"/>
  <c r="AS179" i="5"/>
  <c r="AR179" i="5"/>
  <c r="AQ179" i="5"/>
  <c r="O179" i="5"/>
  <c r="AT178" i="5"/>
  <c r="AS178" i="5"/>
  <c r="AR178" i="5"/>
  <c r="AQ178" i="5"/>
  <c r="O178" i="5"/>
  <c r="AT177" i="5"/>
  <c r="AS177" i="5"/>
  <c r="AR177" i="5"/>
  <c r="AQ177" i="5"/>
  <c r="O177" i="5"/>
  <c r="AT176" i="5"/>
  <c r="AS176" i="5"/>
  <c r="AR176" i="5"/>
  <c r="AQ176" i="5"/>
  <c r="O176" i="5"/>
  <c r="AT175" i="5"/>
  <c r="AS175" i="5"/>
  <c r="AR175" i="5"/>
  <c r="AQ175" i="5"/>
  <c r="O175" i="5"/>
  <c r="AR174" i="5"/>
  <c r="AQ174" i="5"/>
  <c r="T174" i="5"/>
  <c r="AT174" i="5" s="1"/>
  <c r="O174" i="5"/>
  <c r="AT173" i="5"/>
  <c r="AS173" i="5"/>
  <c r="AR173" i="5"/>
  <c r="AQ173" i="5"/>
  <c r="O173" i="5"/>
  <c r="AT172" i="5"/>
  <c r="AS172" i="5"/>
  <c r="AR172" i="5"/>
  <c r="AQ172" i="5"/>
  <c r="O172" i="5"/>
  <c r="AT171" i="5"/>
  <c r="AS171" i="5"/>
  <c r="AR171" i="5"/>
  <c r="AQ171" i="5"/>
  <c r="O171" i="5"/>
  <c r="AT170" i="5"/>
  <c r="AS170" i="5"/>
  <c r="AR170" i="5"/>
  <c r="AQ170" i="5"/>
  <c r="O170" i="5"/>
  <c r="AQ169" i="5"/>
  <c r="S169" i="5"/>
  <c r="R169" i="5"/>
  <c r="AT169" i="5" s="1"/>
  <c r="O169" i="5"/>
  <c r="AT168" i="5"/>
  <c r="AS168" i="5"/>
  <c r="AR168" i="5"/>
  <c r="AQ168" i="5"/>
  <c r="O168" i="5"/>
  <c r="AT167" i="5"/>
  <c r="AS167" i="5"/>
  <c r="AR167" i="5"/>
  <c r="AQ167" i="5"/>
  <c r="O167" i="5"/>
  <c r="AT166" i="5"/>
  <c r="AS166" i="5"/>
  <c r="AR166" i="5"/>
  <c r="AQ166" i="5"/>
  <c r="O166" i="5"/>
  <c r="AT165" i="5"/>
  <c r="AS165" i="5"/>
  <c r="AR165" i="5"/>
  <c r="AQ165" i="5"/>
  <c r="O165" i="5"/>
  <c r="AT164" i="5"/>
  <c r="AS164" i="5"/>
  <c r="AR164" i="5"/>
  <c r="AQ164" i="5"/>
  <c r="O164" i="5"/>
  <c r="AT163" i="5"/>
  <c r="AS163" i="5"/>
  <c r="AR163" i="5"/>
  <c r="AQ163" i="5"/>
  <c r="O163" i="5"/>
  <c r="AT162" i="5"/>
  <c r="AS162" i="5"/>
  <c r="AR162" i="5"/>
  <c r="AQ162" i="5"/>
  <c r="O162" i="5"/>
  <c r="AT161" i="5"/>
  <c r="AS161" i="5"/>
  <c r="AR161" i="5"/>
  <c r="AQ161" i="5"/>
  <c r="O161" i="5"/>
  <c r="AT160" i="5"/>
  <c r="AS160" i="5"/>
  <c r="AR160" i="5"/>
  <c r="AQ160" i="5"/>
  <c r="S160" i="5"/>
  <c r="O160" i="5"/>
  <c r="AT159" i="5"/>
  <c r="AS159" i="5"/>
  <c r="AR159" i="5"/>
  <c r="AQ159" i="5"/>
  <c r="O159" i="5"/>
  <c r="AT158" i="5"/>
  <c r="AS158" i="5"/>
  <c r="AR158" i="5"/>
  <c r="AQ158" i="5"/>
  <c r="O158" i="5"/>
  <c r="AT157" i="5"/>
  <c r="AS157" i="5"/>
  <c r="AR157" i="5"/>
  <c r="AQ157" i="5"/>
  <c r="O157" i="5"/>
  <c r="AT156" i="5"/>
  <c r="AS156" i="5"/>
  <c r="AR156" i="5"/>
  <c r="AQ156" i="5"/>
  <c r="O156" i="5"/>
  <c r="AT155" i="5"/>
  <c r="AS155" i="5"/>
  <c r="AR155" i="5"/>
  <c r="AQ155" i="5"/>
  <c r="O155" i="5"/>
  <c r="AT154" i="5"/>
  <c r="AS154" i="5"/>
  <c r="AR154" i="5"/>
  <c r="AQ154" i="5"/>
  <c r="O154" i="5"/>
  <c r="AT153" i="5"/>
  <c r="AS153" i="5"/>
  <c r="AR153" i="5"/>
  <c r="AQ153" i="5"/>
  <c r="O153" i="5"/>
  <c r="AT152" i="5"/>
  <c r="AS152" i="5"/>
  <c r="AR152" i="5"/>
  <c r="AQ152" i="5"/>
  <c r="O152" i="5"/>
  <c r="AT151" i="5"/>
  <c r="AS151" i="5"/>
  <c r="AR151" i="5"/>
  <c r="AQ151" i="5"/>
  <c r="O151" i="5"/>
  <c r="AT150" i="5"/>
  <c r="AS150" i="5"/>
  <c r="AR150" i="5"/>
  <c r="AQ150" i="5"/>
  <c r="O150" i="5"/>
  <c r="AT149" i="5"/>
  <c r="AS149" i="5"/>
  <c r="AR149" i="5"/>
  <c r="AQ149" i="5"/>
  <c r="O149" i="5"/>
  <c r="AT148" i="5"/>
  <c r="AS148" i="5"/>
  <c r="AR148" i="5"/>
  <c r="AQ148" i="5"/>
  <c r="AT147" i="5"/>
  <c r="AS147" i="5"/>
  <c r="AR147" i="5"/>
  <c r="AQ147" i="5"/>
  <c r="O147" i="5"/>
  <c r="AT146" i="5"/>
  <c r="AS146" i="5"/>
  <c r="AR146" i="5"/>
  <c r="AQ146" i="5"/>
  <c r="O146" i="5"/>
  <c r="AT145" i="5"/>
  <c r="AS145" i="5"/>
  <c r="AR145" i="5"/>
  <c r="AQ145" i="5"/>
  <c r="O145" i="5"/>
  <c r="AT144" i="5"/>
  <c r="AS144" i="5"/>
  <c r="AR144" i="5"/>
  <c r="AQ144" i="5"/>
  <c r="O144" i="5"/>
  <c r="AT143" i="5"/>
  <c r="AS143" i="5"/>
  <c r="AR143" i="5"/>
  <c r="AQ143" i="5"/>
  <c r="O143" i="5"/>
  <c r="AT142" i="5"/>
  <c r="AS142" i="5"/>
  <c r="AR142" i="5"/>
  <c r="AQ142" i="5"/>
  <c r="O142" i="5"/>
  <c r="AT141" i="5"/>
  <c r="AS141" i="5"/>
  <c r="AR141" i="5"/>
  <c r="AQ141" i="5"/>
  <c r="O141" i="5"/>
  <c r="AT140" i="5"/>
  <c r="AS140" i="5"/>
  <c r="AR140" i="5"/>
  <c r="AQ140" i="5"/>
  <c r="O140" i="5"/>
  <c r="AT139" i="5"/>
  <c r="AS139" i="5"/>
  <c r="AR139" i="5"/>
  <c r="AQ139" i="5"/>
  <c r="O139" i="5"/>
  <c r="AT138" i="5"/>
  <c r="AS138" i="5"/>
  <c r="AR138" i="5"/>
  <c r="AQ138" i="5"/>
  <c r="O138" i="5"/>
  <c r="AT137" i="5"/>
  <c r="AS137" i="5"/>
  <c r="AR137" i="5"/>
  <c r="AQ137" i="5"/>
  <c r="O137" i="5"/>
  <c r="AT136" i="5"/>
  <c r="AS136" i="5"/>
  <c r="AR136" i="5"/>
  <c r="AQ136" i="5"/>
  <c r="O136" i="5"/>
  <c r="AT135" i="5"/>
  <c r="AS135" i="5"/>
  <c r="AR135" i="5"/>
  <c r="AQ135" i="5"/>
  <c r="O135" i="5"/>
  <c r="AT134" i="5"/>
  <c r="AS134" i="5"/>
  <c r="AR134" i="5"/>
  <c r="AQ134" i="5"/>
  <c r="O134" i="5"/>
  <c r="AT133" i="5"/>
  <c r="AS133" i="5"/>
  <c r="AR133" i="5"/>
  <c r="AQ133" i="5"/>
  <c r="O133" i="5"/>
  <c r="AT132" i="5"/>
  <c r="AS132" i="5"/>
  <c r="AR132" i="5"/>
  <c r="AQ132" i="5"/>
  <c r="O132" i="5"/>
  <c r="AT131" i="5"/>
  <c r="AS131" i="5"/>
  <c r="AR131" i="5"/>
  <c r="AQ131" i="5"/>
  <c r="O131" i="5"/>
  <c r="AT130" i="5"/>
  <c r="AS130" i="5"/>
  <c r="AR130" i="5"/>
  <c r="AQ130" i="5"/>
  <c r="O130" i="5"/>
  <c r="AT129" i="5"/>
  <c r="AS129" i="5"/>
  <c r="AR129" i="5"/>
  <c r="AQ129" i="5"/>
  <c r="O129" i="5"/>
  <c r="AT128" i="5"/>
  <c r="AS128" i="5"/>
  <c r="AS215" i="5" s="1"/>
  <c r="AR128" i="5"/>
  <c r="AR215" i="5" s="1"/>
  <c r="AQ128" i="5"/>
  <c r="AQ215" i="5" s="1"/>
  <c r="O128" i="5"/>
  <c r="AT127" i="5"/>
  <c r="AS127" i="5"/>
  <c r="AR127" i="5"/>
  <c r="AQ127" i="5"/>
  <c r="O127" i="5"/>
  <c r="AT126" i="5"/>
  <c r="AS126" i="5"/>
  <c r="AR126" i="5"/>
  <c r="AQ126" i="5"/>
  <c r="O126" i="5"/>
  <c r="AT125" i="5"/>
  <c r="AS125" i="5"/>
  <c r="AR125" i="5"/>
  <c r="AQ125" i="5"/>
  <c r="O125" i="5"/>
  <c r="AT124" i="5"/>
  <c r="AS124" i="5"/>
  <c r="AR124" i="5"/>
  <c r="AQ124" i="5"/>
  <c r="O124" i="5"/>
  <c r="AT123" i="5"/>
  <c r="AS123" i="5"/>
  <c r="AR123" i="5"/>
  <c r="AQ123" i="5"/>
  <c r="O123" i="5"/>
  <c r="AT122" i="5"/>
  <c r="AS122" i="5"/>
  <c r="AR122" i="5"/>
  <c r="AQ122" i="5"/>
  <c r="O122" i="5"/>
  <c r="AT121" i="5"/>
  <c r="AS121" i="5"/>
  <c r="AR121" i="5"/>
  <c r="AQ121" i="5"/>
  <c r="AT120" i="5"/>
  <c r="AQ120" i="5"/>
  <c r="T120" i="5"/>
  <c r="AS120" i="5" s="1"/>
  <c r="R120" i="5"/>
  <c r="O120" i="5"/>
  <c r="AT119" i="5"/>
  <c r="U119" i="5"/>
  <c r="T119" i="5"/>
  <c r="S119" i="5"/>
  <c r="AS119" i="5" s="1"/>
  <c r="O119" i="5"/>
  <c r="AT118" i="5"/>
  <c r="AS118" i="5"/>
  <c r="AR118" i="5"/>
  <c r="AQ118" i="5"/>
  <c r="O118" i="5"/>
  <c r="AS117" i="5"/>
  <c r="AQ117" i="5"/>
  <c r="X117" i="5"/>
  <c r="W117" i="5"/>
  <c r="AR117" i="5" s="1"/>
  <c r="U117" i="5"/>
  <c r="O117" i="5"/>
  <c r="AT116" i="5"/>
  <c r="AQ116" i="5"/>
  <c r="Y116" i="5"/>
  <c r="AS116" i="5" s="1"/>
  <c r="X116" i="5"/>
  <c r="O116" i="5"/>
  <c r="AT115" i="5"/>
  <c r="AS115" i="5"/>
  <c r="AR115" i="5"/>
  <c r="AQ115" i="5"/>
  <c r="O115" i="5"/>
  <c r="AR114" i="5"/>
  <c r="AQ114" i="5"/>
  <c r="V114" i="5"/>
  <c r="V212" i="5" s="1"/>
  <c r="U114" i="5"/>
  <c r="T114" i="5"/>
  <c r="AT114" i="5" s="1"/>
  <c r="O114" i="5"/>
  <c r="AT113" i="5"/>
  <c r="AS113" i="5"/>
  <c r="AR113" i="5"/>
  <c r="AQ113" i="5"/>
  <c r="R113" i="5"/>
  <c r="O113" i="5"/>
  <c r="AT112" i="5"/>
  <c r="AS112" i="5"/>
  <c r="AR112" i="5"/>
  <c r="AQ112" i="5"/>
  <c r="O112" i="5"/>
  <c r="AT111" i="5"/>
  <c r="AS111" i="5"/>
  <c r="AR111" i="5"/>
  <c r="AQ111" i="5"/>
  <c r="O111" i="5"/>
  <c r="AT110" i="5"/>
  <c r="AS110" i="5"/>
  <c r="AR110" i="5"/>
  <c r="AQ110" i="5"/>
  <c r="O110" i="5"/>
  <c r="AT109" i="5"/>
  <c r="AS109" i="5"/>
  <c r="AR109" i="5"/>
  <c r="AQ109" i="5"/>
  <c r="O109" i="5"/>
  <c r="AT108" i="5"/>
  <c r="AS108" i="5"/>
  <c r="AR108" i="5"/>
  <c r="AQ108" i="5"/>
  <c r="O108" i="5"/>
  <c r="AT107" i="5"/>
  <c r="AS107" i="5"/>
  <c r="AR107" i="5"/>
  <c r="AQ107" i="5"/>
  <c r="O107" i="5"/>
  <c r="AT106" i="5"/>
  <c r="AS106" i="5"/>
  <c r="AR106" i="5"/>
  <c r="AQ106" i="5"/>
  <c r="AT105" i="5"/>
  <c r="AS105" i="5"/>
  <c r="AR105" i="5"/>
  <c r="AQ105" i="5"/>
  <c r="O105" i="5"/>
  <c r="AT104" i="5"/>
  <c r="AS104" i="5"/>
  <c r="AR104" i="5"/>
  <c r="AQ104" i="5"/>
  <c r="O104" i="5"/>
  <c r="AT103" i="5"/>
  <c r="AS103" i="5"/>
  <c r="AR103" i="5"/>
  <c r="AQ103" i="5"/>
  <c r="AT102" i="5"/>
  <c r="AS102" i="5"/>
  <c r="AR102" i="5"/>
  <c r="AQ102" i="5"/>
  <c r="O102" i="5"/>
  <c r="AT101" i="5"/>
  <c r="AS101" i="5"/>
  <c r="AR101" i="5"/>
  <c r="AQ101" i="5"/>
  <c r="O101" i="5"/>
  <c r="AT100" i="5"/>
  <c r="AS100" i="5"/>
  <c r="AR100" i="5"/>
  <c r="AQ100" i="5"/>
  <c r="AT99" i="5"/>
  <c r="AS99" i="5"/>
  <c r="AR99" i="5"/>
  <c r="AQ99" i="5"/>
  <c r="O99" i="5"/>
  <c r="AS98" i="5"/>
  <c r="AQ98" i="5"/>
  <c r="Z98" i="5"/>
  <c r="Y98" i="5"/>
  <c r="AR98" i="5" s="1"/>
  <c r="O98" i="5"/>
  <c r="AT97" i="5"/>
  <c r="AS97" i="5"/>
  <c r="AR97" i="5"/>
  <c r="AQ97" i="5"/>
  <c r="O97" i="5"/>
  <c r="AT96" i="5"/>
  <c r="AS96" i="5"/>
  <c r="AR96" i="5"/>
  <c r="AQ96" i="5"/>
  <c r="AT95" i="5"/>
  <c r="AS95" i="5"/>
  <c r="AR95" i="5"/>
  <c r="AQ95" i="5"/>
  <c r="O95" i="5"/>
  <c r="AT94" i="5"/>
  <c r="AS94" i="5"/>
  <c r="AR94" i="5"/>
  <c r="AQ94" i="5"/>
  <c r="O94" i="5"/>
  <c r="AT93" i="5"/>
  <c r="AS93" i="5"/>
  <c r="AR93" i="5"/>
  <c r="AQ93" i="5"/>
  <c r="O93" i="5"/>
  <c r="AT92" i="5"/>
  <c r="AS92" i="5"/>
  <c r="AR92" i="5"/>
  <c r="AQ92" i="5"/>
  <c r="O92" i="5"/>
  <c r="AT91" i="5"/>
  <c r="AS91" i="5"/>
  <c r="AR91" i="5"/>
  <c r="AQ91" i="5"/>
  <c r="O91" i="5"/>
  <c r="AT90" i="5"/>
  <c r="AS90" i="5"/>
  <c r="AR90" i="5"/>
  <c r="AQ90" i="5"/>
  <c r="O90" i="5"/>
  <c r="AT89" i="5"/>
  <c r="AS89" i="5"/>
  <c r="AR89" i="5"/>
  <c r="AQ89" i="5"/>
  <c r="O89" i="5"/>
  <c r="AT88" i="5"/>
  <c r="AS88" i="5"/>
  <c r="AR88" i="5"/>
  <c r="AQ88" i="5"/>
  <c r="O88" i="5"/>
  <c r="AT87" i="5"/>
  <c r="AS87" i="5"/>
  <c r="AR87" i="5"/>
  <c r="AQ87" i="5"/>
  <c r="O87" i="5"/>
  <c r="AT86" i="5"/>
  <c r="AS86" i="5"/>
  <c r="AR86" i="5"/>
  <c r="AQ86" i="5"/>
  <c r="O86" i="5"/>
  <c r="AT85" i="5"/>
  <c r="AR85" i="5"/>
  <c r="AQ85" i="5"/>
  <c r="W85" i="5"/>
  <c r="W213" i="5" s="1" a="1"/>
  <c r="W213" i="5" s="1"/>
  <c r="O85" i="5"/>
  <c r="AT84" i="5"/>
  <c r="AS84" i="5"/>
  <c r="AR84" i="5"/>
  <c r="AQ84" i="5"/>
  <c r="O84" i="5"/>
  <c r="AT83" i="5"/>
  <c r="AS83" i="5"/>
  <c r="AR83" i="5"/>
  <c r="AQ83" i="5"/>
  <c r="O83" i="5"/>
  <c r="AT82" i="5"/>
  <c r="AS82" i="5"/>
  <c r="AR82" i="5"/>
  <c r="AQ82" i="5"/>
  <c r="O82" i="5"/>
  <c r="AT81" i="5"/>
  <c r="AS81" i="5"/>
  <c r="AR81" i="5"/>
  <c r="AQ81" i="5"/>
  <c r="O81" i="5"/>
  <c r="AT80" i="5"/>
  <c r="AS80" i="5"/>
  <c r="AR80" i="5"/>
  <c r="AQ80" i="5"/>
  <c r="O80" i="5"/>
  <c r="AT79" i="5"/>
  <c r="AS79" i="5"/>
  <c r="AR79" i="5"/>
  <c r="AQ79" i="5"/>
  <c r="O79" i="5"/>
  <c r="AT78" i="5"/>
  <c r="AS78" i="5"/>
  <c r="AR78" i="5"/>
  <c r="AQ78" i="5"/>
  <c r="O78" i="5"/>
  <c r="AT77" i="5"/>
  <c r="AS77" i="5"/>
  <c r="AR77" i="5"/>
  <c r="AQ77" i="5"/>
  <c r="O77" i="5"/>
  <c r="AT76" i="5"/>
  <c r="AS76" i="5"/>
  <c r="AR76" i="5"/>
  <c r="AQ76" i="5"/>
  <c r="O76" i="5"/>
  <c r="AT75" i="5"/>
  <c r="AS75" i="5"/>
  <c r="AR75" i="5"/>
  <c r="AQ75" i="5"/>
  <c r="O75" i="5"/>
  <c r="AT74" i="5"/>
  <c r="AS74" i="5"/>
  <c r="AR74" i="5"/>
  <c r="AQ74" i="5"/>
  <c r="O74" i="5"/>
  <c r="AT73" i="5"/>
  <c r="AS73" i="5"/>
  <c r="AR73" i="5"/>
  <c r="AQ73" i="5"/>
  <c r="Y73" i="5"/>
  <c r="Y212" i="5" s="1"/>
  <c r="O73" i="5"/>
  <c r="AT72" i="5"/>
  <c r="AS72" i="5"/>
  <c r="AR72" i="5"/>
  <c r="AQ72" i="5"/>
  <c r="O72" i="5"/>
  <c r="AT71" i="5"/>
  <c r="AS71" i="5"/>
  <c r="AR71" i="5"/>
  <c r="AQ71" i="5"/>
  <c r="O71" i="5"/>
  <c r="AT70" i="5"/>
  <c r="AS70" i="5"/>
  <c r="AR70" i="5"/>
  <c r="AQ70" i="5"/>
  <c r="O70" i="5"/>
  <c r="AT69" i="5"/>
  <c r="AS69" i="5"/>
  <c r="AR69" i="5"/>
  <c r="AQ69" i="5"/>
  <c r="O69" i="5"/>
  <c r="AT68" i="5"/>
  <c r="AS68" i="5"/>
  <c r="AR68" i="5"/>
  <c r="AQ68" i="5"/>
  <c r="O68" i="5"/>
  <c r="AQ67" i="5"/>
  <c r="T67" i="5"/>
  <c r="AT67" i="5" s="1"/>
  <c r="O67" i="5"/>
  <c r="AT66" i="5"/>
  <c r="AS66" i="5"/>
  <c r="AR66" i="5"/>
  <c r="AQ66" i="5"/>
  <c r="O66" i="5"/>
  <c r="AT65" i="5"/>
  <c r="AS65" i="5"/>
  <c r="AR65" i="5"/>
  <c r="AQ65" i="5"/>
  <c r="S65" i="5"/>
  <c r="O65" i="5"/>
  <c r="AT64" i="5"/>
  <c r="AQ64" i="5"/>
  <c r="T64" i="5"/>
  <c r="AS64" i="5" s="1"/>
  <c r="O64" i="5"/>
  <c r="AT63" i="5"/>
  <c r="AS63" i="5"/>
  <c r="AR63" i="5"/>
  <c r="AQ63" i="5"/>
  <c r="O63" i="5"/>
  <c r="AS62" i="5"/>
  <c r="AQ62" i="5"/>
  <c r="T62" i="5"/>
  <c r="S62" i="5"/>
  <c r="AR62" i="5" s="1"/>
  <c r="R62" i="5"/>
  <c r="AT62" i="5" s="1"/>
  <c r="O62" i="5"/>
  <c r="AT61" i="5"/>
  <c r="AS61" i="5"/>
  <c r="AR61" i="5"/>
  <c r="AQ61" i="5"/>
  <c r="O61" i="5"/>
  <c r="U60" i="5"/>
  <c r="AT60" i="5" s="1"/>
  <c r="T60" i="5"/>
  <c r="S60" i="5"/>
  <c r="AS60" i="5" s="1"/>
  <c r="O60" i="5"/>
  <c r="AT59" i="5"/>
  <c r="AS59" i="5"/>
  <c r="AR59" i="5"/>
  <c r="AQ59" i="5"/>
  <c r="O59" i="5"/>
  <c r="T58" i="5"/>
  <c r="R58" i="5"/>
  <c r="AT58" i="5" s="1"/>
  <c r="O58" i="5"/>
  <c r="T57" i="5"/>
  <c r="S57" i="5"/>
  <c r="S213" i="5" s="1" a="1"/>
  <c r="S213" i="5" s="1"/>
  <c r="O57" i="5"/>
  <c r="AT56" i="5"/>
  <c r="AS56" i="5"/>
  <c r="AR56" i="5"/>
  <c r="AQ56" i="5"/>
  <c r="O56" i="5"/>
  <c r="AT55" i="5"/>
  <c r="AS55" i="5"/>
  <c r="AR55" i="5"/>
  <c r="AQ55" i="5"/>
  <c r="O55" i="5"/>
  <c r="AT54" i="5"/>
  <c r="AS54" i="5"/>
  <c r="AR54" i="5"/>
  <c r="AQ54" i="5"/>
  <c r="O54" i="5"/>
  <c r="AT53" i="5"/>
  <c r="AS53" i="5"/>
  <c r="AR53" i="5"/>
  <c r="AQ53" i="5"/>
  <c r="O53" i="5"/>
  <c r="AT52" i="5"/>
  <c r="AS52" i="5"/>
  <c r="AR52" i="5"/>
  <c r="AQ52" i="5"/>
  <c r="O52" i="5"/>
  <c r="AT51" i="5"/>
  <c r="AS51" i="5"/>
  <c r="AR51" i="5"/>
  <c r="AQ51" i="5"/>
  <c r="O51" i="5"/>
  <c r="AT50" i="5"/>
  <c r="AS50" i="5"/>
  <c r="AR50" i="5"/>
  <c r="AQ50" i="5"/>
  <c r="O50" i="5"/>
  <c r="AQ49" i="5"/>
  <c r="V49" i="5"/>
  <c r="T49" i="5"/>
  <c r="S49" i="5"/>
  <c r="R49" i="5"/>
  <c r="AT49" i="5" s="1"/>
  <c r="O49" i="5"/>
  <c r="AT48" i="5"/>
  <c r="AS48" i="5"/>
  <c r="AR48" i="5"/>
  <c r="AQ48" i="5"/>
  <c r="O48" i="5"/>
  <c r="AT47" i="5"/>
  <c r="AS47" i="5"/>
  <c r="AR47" i="5"/>
  <c r="AQ47" i="5"/>
  <c r="O47" i="5"/>
  <c r="AQ46" i="5"/>
  <c r="U46" i="5"/>
  <c r="U212" i="5" s="1"/>
  <c r="T46" i="5"/>
  <c r="AS46" i="5" s="1"/>
  <c r="S46" i="5"/>
  <c r="R46" i="5"/>
  <c r="AT46" i="5" s="1"/>
  <c r="O46" i="5"/>
  <c r="AT45" i="5"/>
  <c r="AS45" i="5"/>
  <c r="AR45" i="5"/>
  <c r="AQ45" i="5"/>
  <c r="O45" i="5"/>
  <c r="AT44" i="5"/>
  <c r="AS44" i="5"/>
  <c r="AR44" i="5"/>
  <c r="AQ44" i="5"/>
  <c r="O44" i="5"/>
  <c r="U43" i="5"/>
  <c r="T43" i="5"/>
  <c r="S43" i="5"/>
  <c r="R43" i="5"/>
  <c r="AS43" i="5" s="1"/>
  <c r="Q43" i="5"/>
  <c r="AT43" i="5" s="1"/>
  <c r="O43" i="5"/>
  <c r="AT42" i="5"/>
  <c r="AS42" i="5"/>
  <c r="AR42" i="5"/>
  <c r="AQ42" i="5"/>
  <c r="O42" i="5"/>
  <c r="AT41" i="5"/>
  <c r="AS41" i="5"/>
  <c r="AR41" i="5"/>
  <c r="AQ41" i="5"/>
  <c r="O41" i="5"/>
  <c r="AT40" i="5"/>
  <c r="AS40" i="5"/>
  <c r="AR40" i="5"/>
  <c r="AQ40" i="5"/>
  <c r="O40" i="5"/>
  <c r="AT39" i="5"/>
  <c r="AS39" i="5"/>
  <c r="AR39" i="5"/>
  <c r="AQ39" i="5"/>
  <c r="O39" i="5"/>
  <c r="AT38" i="5"/>
  <c r="AS38" i="5"/>
  <c r="AR38" i="5"/>
  <c r="AQ38" i="5"/>
  <c r="O38" i="5"/>
  <c r="AT37" i="5"/>
  <c r="AS37" i="5"/>
  <c r="AR37" i="5"/>
  <c r="AQ37" i="5"/>
  <c r="O37" i="5"/>
  <c r="AT36" i="5"/>
  <c r="AS36" i="5"/>
  <c r="AR36" i="5"/>
  <c r="AQ36" i="5"/>
  <c r="O36" i="5"/>
  <c r="AT35" i="5"/>
  <c r="AS35" i="5"/>
  <c r="AR35" i="5"/>
  <c r="AQ35" i="5"/>
  <c r="O35" i="5"/>
  <c r="AT34" i="5"/>
  <c r="AS34" i="5"/>
  <c r="AR34" i="5"/>
  <c r="AQ34" i="5"/>
  <c r="O34" i="5"/>
  <c r="AT33" i="5"/>
  <c r="AS33" i="5"/>
  <c r="AR33" i="5"/>
  <c r="AQ33" i="5"/>
  <c r="O33" i="5"/>
  <c r="AR32" i="5"/>
  <c r="AQ32" i="5"/>
  <c r="AP32" i="5"/>
  <c r="AO32" i="5"/>
  <c r="AN32" i="5"/>
  <c r="AM32" i="5"/>
  <c r="AL32" i="5"/>
  <c r="AK32" i="5"/>
  <c r="AK213" i="5" s="1" a="1"/>
  <c r="AK213" i="5" s="1"/>
  <c r="AJ32" i="5"/>
  <c r="AI32" i="5"/>
  <c r="AH32" i="5"/>
  <c r="AG32" i="5"/>
  <c r="AF32" i="5"/>
  <c r="AE32" i="5"/>
  <c r="AD32" i="5"/>
  <c r="AT32" i="5" s="1"/>
  <c r="AC32" i="5"/>
  <c r="AS32" i="5" s="1"/>
  <c r="O32" i="5"/>
  <c r="AR31" i="5"/>
  <c r="AQ31" i="5"/>
  <c r="AP31" i="5"/>
  <c r="AP212" i="5" s="1"/>
  <c r="AO31" i="5"/>
  <c r="AO212" i="5" s="1"/>
  <c r="AN31" i="5"/>
  <c r="AM31" i="5"/>
  <c r="AM213" i="5" s="1" a="1"/>
  <c r="AM213" i="5" s="1"/>
  <c r="AL31" i="5"/>
  <c r="AL213" i="5" s="1" a="1"/>
  <c r="AL213" i="5" s="1"/>
  <c r="AK31" i="5"/>
  <c r="AK212" i="5" s="1"/>
  <c r="AJ31" i="5"/>
  <c r="AI31" i="5"/>
  <c r="AI212" i="5" s="1"/>
  <c r="AH31" i="5"/>
  <c r="AH212" i="5" s="1"/>
  <c r="AG31" i="5"/>
  <c r="AG212" i="5" s="1"/>
  <c r="AF31" i="5"/>
  <c r="AE31" i="5"/>
  <c r="AE213" i="5" s="1" a="1"/>
  <c r="AE213" i="5" s="1"/>
  <c r="AD31" i="5"/>
  <c r="AD213" i="5" s="1" a="1"/>
  <c r="AD213" i="5" s="1"/>
  <c r="AC31" i="5"/>
  <c r="AS31" i="5" s="1"/>
  <c r="O31" i="5"/>
  <c r="AT30" i="5"/>
  <c r="AS30" i="5"/>
  <c r="AR30" i="5"/>
  <c r="AQ30" i="5"/>
  <c r="O30" i="5"/>
  <c r="AT29" i="5"/>
  <c r="AS29" i="5"/>
  <c r="AR29" i="5"/>
  <c r="AQ29" i="5"/>
  <c r="O29" i="5"/>
  <c r="AT28" i="5"/>
  <c r="AS28" i="5"/>
  <c r="AR28" i="5"/>
  <c r="AQ28" i="5"/>
  <c r="O28" i="5"/>
  <c r="AT27" i="5"/>
  <c r="AS27" i="5"/>
  <c r="AR27" i="5"/>
  <c r="AQ27" i="5"/>
  <c r="O27" i="5"/>
  <c r="AT26" i="5"/>
  <c r="AS26" i="5"/>
  <c r="AR26" i="5"/>
  <c r="AQ26" i="5"/>
  <c r="O26" i="5"/>
  <c r="AT25" i="5"/>
  <c r="AS25" i="5"/>
  <c r="AR25" i="5"/>
  <c r="AQ25" i="5"/>
  <c r="O25" i="5"/>
  <c r="AT24" i="5"/>
  <c r="AS24" i="5"/>
  <c r="AR24" i="5"/>
  <c r="AQ24" i="5"/>
  <c r="O24" i="5"/>
  <c r="AT23" i="5"/>
  <c r="AS23" i="5"/>
  <c r="AR23" i="5"/>
  <c r="AQ23" i="5"/>
  <c r="O23" i="5"/>
  <c r="AT22" i="5"/>
  <c r="R22" i="5"/>
  <c r="AS22" i="5" s="1"/>
  <c r="O22" i="5"/>
  <c r="AT21" i="5"/>
  <c r="AS21" i="5"/>
  <c r="AR21" i="5"/>
  <c r="AQ21" i="5"/>
  <c r="O21" i="5"/>
  <c r="AT20" i="5"/>
  <c r="AS20" i="5"/>
  <c r="AR20" i="5"/>
  <c r="AQ20" i="5"/>
  <c r="O20" i="5"/>
  <c r="AT19" i="5"/>
  <c r="AS19" i="5"/>
  <c r="AR19" i="5"/>
  <c r="AQ19" i="5"/>
  <c r="O19" i="5"/>
  <c r="AT18" i="5"/>
  <c r="AS18" i="5"/>
  <c r="AR18" i="5"/>
  <c r="AQ18" i="5"/>
  <c r="O18" i="5"/>
  <c r="AT17" i="5"/>
  <c r="AS17" i="5"/>
  <c r="AR17" i="5"/>
  <c r="AQ17" i="5"/>
  <c r="S17" i="5"/>
  <c r="S217" i="5" s="1"/>
  <c r="O17" i="5"/>
  <c r="AT16" i="5"/>
  <c r="AS16" i="5"/>
  <c r="AR16" i="5"/>
  <c r="AQ16" i="5"/>
  <c r="O16" i="5"/>
  <c r="AT15" i="5"/>
  <c r="AS15" i="5"/>
  <c r="AR15" i="5"/>
  <c r="AQ15" i="5"/>
  <c r="O15" i="5"/>
  <c r="AT14" i="5"/>
  <c r="AS14" i="5"/>
  <c r="AR14" i="5"/>
  <c r="AQ14" i="5"/>
  <c r="O14" i="5"/>
  <c r="AT13" i="5"/>
  <c r="AS13" i="5"/>
  <c r="AR13" i="5"/>
  <c r="AQ13" i="5"/>
  <c r="O13" i="5"/>
  <c r="AR12" i="5"/>
  <c r="T12" i="5"/>
  <c r="S12" i="5"/>
  <c r="S212" i="5" s="1"/>
  <c r="R12" i="5"/>
  <c r="AQ12" i="5" s="1"/>
  <c r="Q12" i="5"/>
  <c r="Q212" i="5" s="1"/>
  <c r="O12" i="5"/>
  <c r="AT11" i="5"/>
  <c r="AS11" i="5"/>
  <c r="AR11" i="5"/>
  <c r="AQ11" i="5"/>
  <c r="O11" i="5"/>
  <c r="O10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T9" i="5"/>
  <c r="AS9" i="5"/>
  <c r="AR9" i="5"/>
  <c r="AQ9" i="5"/>
  <c r="O9" i="5"/>
  <c r="S216" i="5" l="1"/>
  <c r="S218" i="5" s="1"/>
  <c r="S219" i="5"/>
  <c r="AG219" i="5"/>
  <c r="AO219" i="5"/>
  <c r="V216" i="5"/>
  <c r="V218" i="5" s="1"/>
  <c r="V219" i="5"/>
  <c r="AN216" i="5"/>
  <c r="AN218" i="5" s="1"/>
  <c r="AP219" i="5"/>
  <c r="AI219" i="5"/>
  <c r="AS217" i="5"/>
  <c r="U219" i="5"/>
  <c r="U216" i="5"/>
  <c r="U218" i="5" s="1"/>
  <c r="Y219" i="5"/>
  <c r="Z216" i="5"/>
  <c r="Z218" i="5" s="1"/>
  <c r="AH219" i="5"/>
  <c r="AK219" i="5"/>
  <c r="AK216" i="5"/>
  <c r="AK218" i="5" s="1"/>
  <c r="Q216" i="5"/>
  <c r="Q218" i="5" s="1"/>
  <c r="Q219" i="5"/>
  <c r="AF216" i="5"/>
  <c r="AF218" i="5" s="1"/>
  <c r="T212" i="5"/>
  <c r="T213" i="5" a="1"/>
  <c r="T213" i="5" s="1"/>
  <c r="AS12" i="5"/>
  <c r="AS213" i="5" s="1" a="1"/>
  <c r="AS213" i="5" s="1"/>
  <c r="AR49" i="5"/>
  <c r="AQ60" i="5"/>
  <c r="AS85" i="5"/>
  <c r="AT98" i="5"/>
  <c r="AS114" i="5"/>
  <c r="AT117" i="5"/>
  <c r="AC212" i="5"/>
  <c r="AS212" i="5"/>
  <c r="AT12" i="5"/>
  <c r="AS49" i="5"/>
  <c r="AQ57" i="5"/>
  <c r="AQ58" i="5"/>
  <c r="AR60" i="5"/>
  <c r="AR67" i="5"/>
  <c r="AD212" i="5"/>
  <c r="AL212" i="5"/>
  <c r="U213" i="5" a="1"/>
  <c r="U213" i="5" s="1"/>
  <c r="Y213" i="5" a="1"/>
  <c r="Y213" i="5" s="1"/>
  <c r="Y216" i="5" s="1"/>
  <c r="Y218" i="5" s="1"/>
  <c r="AC213" i="5" a="1"/>
  <c r="AC213" i="5" s="1"/>
  <c r="AG213" i="5" a="1"/>
  <c r="AG213" i="5" s="1"/>
  <c r="AG216" i="5" s="1"/>
  <c r="AG218" i="5" s="1"/>
  <c r="AO213" i="5" a="1"/>
  <c r="AO213" i="5" s="1"/>
  <c r="AO216" i="5" s="1"/>
  <c r="AO218" i="5" s="1"/>
  <c r="R217" i="5"/>
  <c r="X219" i="5"/>
  <c r="AF219" i="5"/>
  <c r="AN219" i="5"/>
  <c r="AR46" i="5"/>
  <c r="AR57" i="5"/>
  <c r="AR58" i="5"/>
  <c r="AS67" i="5"/>
  <c r="W212" i="5"/>
  <c r="AE212" i="5"/>
  <c r="AM212" i="5"/>
  <c r="AT31" i="5"/>
  <c r="AQ43" i="5"/>
  <c r="AS57" i="5"/>
  <c r="AS58" i="5"/>
  <c r="R213" i="5" a="1"/>
  <c r="R213" i="5" s="1"/>
  <c r="AH213" i="5" a="1"/>
  <c r="AH213" i="5" s="1"/>
  <c r="AH216" i="5" s="1"/>
  <c r="AH218" i="5" s="1"/>
  <c r="AP213" i="5" a="1"/>
  <c r="AP213" i="5" s="1"/>
  <c r="AP216" i="5" s="1"/>
  <c r="AP218" i="5" s="1"/>
  <c r="Z219" i="5"/>
  <c r="AQ22" i="5"/>
  <c r="AQ212" i="5" s="1"/>
  <c r="AR43" i="5"/>
  <c r="AT57" i="5"/>
  <c r="AQ119" i="5"/>
  <c r="AR169" i="5"/>
  <c r="AR213" i="5" s="1" a="1"/>
  <c r="AR213" i="5" s="1"/>
  <c r="AS174" i="5"/>
  <c r="AA219" i="5"/>
  <c r="AR22" i="5"/>
  <c r="AR217" i="5" s="1"/>
  <c r="AR64" i="5"/>
  <c r="AR116" i="5"/>
  <c r="AR119" i="5"/>
  <c r="AR120" i="5"/>
  <c r="AS169" i="5"/>
  <c r="R212" i="5"/>
  <c r="AI213" i="5" a="1"/>
  <c r="AI213" i="5" s="1"/>
  <c r="AI216" i="5" s="1"/>
  <c r="AI218" i="5" s="1"/>
  <c r="AB219" i="5"/>
  <c r="AJ219" i="5"/>
  <c r="AQ219" i="5" l="1"/>
  <c r="W216" i="5"/>
  <c r="W218" i="5" s="1"/>
  <c r="W219" i="5"/>
  <c r="AL216" i="5"/>
  <c r="AL218" i="5" s="1"/>
  <c r="AL219" i="5"/>
  <c r="T216" i="5"/>
  <c r="T218" i="5" s="1"/>
  <c r="T219" i="5"/>
  <c r="AS219" i="5"/>
  <c r="AS216" i="5"/>
  <c r="AS218" i="5" s="1"/>
  <c r="AD216" i="5"/>
  <c r="AD218" i="5" s="1"/>
  <c r="AD219" i="5"/>
  <c r="R216" i="5"/>
  <c r="R218" i="5" s="1"/>
  <c r="R219" i="5"/>
  <c r="AE216" i="5"/>
  <c r="AE218" i="5" s="1"/>
  <c r="AE219" i="5"/>
  <c r="AC219" i="5"/>
  <c r="AC216" i="5"/>
  <c r="AC218" i="5" s="1"/>
  <c r="AQ213" i="5" a="1"/>
  <c r="AQ213" i="5" s="1"/>
  <c r="AQ216" i="5" s="1"/>
  <c r="AQ218" i="5" s="1"/>
  <c r="AR212" i="5"/>
  <c r="AQ217" i="5"/>
  <c r="AM216" i="5"/>
  <c r="AM218" i="5" s="1"/>
  <c r="AM219" i="5"/>
  <c r="AR216" i="5" l="1"/>
  <c r="AR218" i="5" s="1"/>
  <c r="AR219" i="5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<sst xmlns="http://schemas.openxmlformats.org/spreadsheetml/2006/main" count="1491" uniqueCount="635">
  <si>
    <t>ACWD CAPITAL IMPROVEMENT PROGRAM - DRAFT</t>
  </si>
  <si>
    <t>REFLECTS ESTIMATED EXPENDITURES FOR FY2022-23 AND PROPOSED BUDGET FOR FY 2023-24 and FY 2024-25</t>
  </si>
  <si>
    <t xml:space="preserve">FY 24/25 AND LATER PROJECTS IN 2023 DOLLARS </t>
  </si>
  <si>
    <t>ALL BUDGETS ($) PRESENTED IN THOUSANDS</t>
  </si>
  <si>
    <t>Item</t>
  </si>
  <si>
    <t>Budget Code</t>
  </si>
  <si>
    <t>Ext. Expense</t>
  </si>
  <si>
    <t>Req Org</t>
  </si>
  <si>
    <t>Lead Org</t>
  </si>
  <si>
    <t>Bond Funded</t>
  </si>
  <si>
    <t>Category</t>
  </si>
  <si>
    <t>CIP No</t>
  </si>
  <si>
    <t>Job or ID No</t>
  </si>
  <si>
    <t>FRF</t>
  </si>
  <si>
    <t>FIF</t>
  </si>
  <si>
    <t>Priority</t>
  </si>
  <si>
    <t>Title</t>
  </si>
  <si>
    <t>Estimate</t>
  </si>
  <si>
    <t>Year 1</t>
  </si>
  <si>
    <t>Year 2</t>
  </si>
  <si>
    <t>25-26</t>
  </si>
  <si>
    <t>26-27</t>
  </si>
  <si>
    <t>27-28</t>
  </si>
  <si>
    <t>28-29</t>
  </si>
  <si>
    <t>29-30</t>
  </si>
  <si>
    <t>30-31</t>
  </si>
  <si>
    <t>31-32</t>
  </si>
  <si>
    <t>32-33</t>
  </si>
  <si>
    <t>33-34</t>
  </si>
  <si>
    <t>34-35</t>
  </si>
  <si>
    <t>35-36</t>
  </si>
  <si>
    <t>36-37</t>
  </si>
  <si>
    <t>37-38</t>
  </si>
  <si>
    <t>38-39</t>
  </si>
  <si>
    <t>39-40</t>
  </si>
  <si>
    <t>40-41</t>
  </si>
  <si>
    <t>41-42</t>
  </si>
  <si>
    <t>42-43</t>
  </si>
  <si>
    <t>43-44</t>
  </si>
  <si>
    <t>44-45</t>
  </si>
  <si>
    <t>45-46</t>
  </si>
  <si>
    <t>46-47</t>
  </si>
  <si>
    <t>47-48</t>
  </si>
  <si>
    <t>2 YR 
Total</t>
  </si>
  <si>
    <t>10 YR 
Total</t>
  </si>
  <si>
    <t>25 YR 
Total</t>
  </si>
  <si>
    <t>Grand Total</t>
  </si>
  <si>
    <t>Type</t>
  </si>
  <si>
    <t>Goal</t>
  </si>
  <si>
    <t>Primary</t>
  </si>
  <si>
    <t>22-23</t>
  </si>
  <si>
    <t>23-24</t>
  </si>
  <si>
    <t>24-25</t>
  </si>
  <si>
    <t>BudgetCode</t>
  </si>
  <si>
    <t>ExtExpense</t>
  </si>
  <si>
    <t>RequestOrg</t>
  </si>
  <si>
    <t>LeadOrg</t>
  </si>
  <si>
    <t>BondFunded</t>
  </si>
  <si>
    <t>CIPNumber</t>
  </si>
  <si>
    <t>JobOrIDNo</t>
  </si>
  <si>
    <t>Goal #</t>
  </si>
  <si>
    <t>Column3</t>
  </si>
  <si>
    <t>Column2</t>
  </si>
  <si>
    <t>Column1</t>
  </si>
  <si>
    <t>TotalYR1</t>
  </si>
  <si>
    <t>TotalYR2</t>
  </si>
  <si>
    <t>2 YR Total</t>
  </si>
  <si>
    <t>10 YR Total</t>
  </si>
  <si>
    <t>25 YR Total</t>
  </si>
  <si>
    <t>Total</t>
  </si>
  <si>
    <t>Exp</t>
  </si>
  <si>
    <t>WS</t>
  </si>
  <si>
    <t>EE01.61</t>
  </si>
  <si>
    <t>Goal 1</t>
  </si>
  <si>
    <t>No</t>
  </si>
  <si>
    <t>Integrated Resources Planning - Extraordinary Expense</t>
  </si>
  <si>
    <t>EE01.64</t>
  </si>
  <si>
    <t>Goal 2</t>
  </si>
  <si>
    <t>IRP - Lake Del Valle</t>
  </si>
  <si>
    <t>EE01.63</t>
  </si>
  <si>
    <t>Los Vaqueros Reservoir Expansion Project</t>
  </si>
  <si>
    <t>D</t>
  </si>
  <si>
    <t>OS</t>
  </si>
  <si>
    <t>MD60.05</t>
  </si>
  <si>
    <t>AMI</t>
  </si>
  <si>
    <t>Yes</t>
  </si>
  <si>
    <t>Advanced Metering Infrastructure</t>
  </si>
  <si>
    <t>EE01.65</t>
  </si>
  <si>
    <t>2019 Joint Purified Water Feasibility Evaluation</t>
  </si>
  <si>
    <t>ES</t>
  </si>
  <si>
    <t>YI02.04</t>
  </si>
  <si>
    <t>Clean Energy Plan Implementation</t>
  </si>
  <si>
    <t>G</t>
  </si>
  <si>
    <t>WQ</t>
  </si>
  <si>
    <t>GA10.01</t>
  </si>
  <si>
    <t>Quarry Lakes Parkway Improvements and ACWD Water Main Relocations</t>
  </si>
  <si>
    <t>GG06.01B</t>
  </si>
  <si>
    <t>Monitoring Well Construction Project</t>
  </si>
  <si>
    <t>GG70.01</t>
  </si>
  <si>
    <t>Alternative Update and Model Upgrade Project</t>
  </si>
  <si>
    <t>E</t>
  </si>
  <si>
    <t>O</t>
  </si>
  <si>
    <t>AK01.67</t>
  </si>
  <si>
    <t>Other</t>
  </si>
  <si>
    <t>IT Enterprise Software Upgrades - JD Edwards</t>
  </si>
  <si>
    <t>GG50.07</t>
  </si>
  <si>
    <t>Groundwater PFAs Sampling and Source Investigation</t>
  </si>
  <si>
    <t>SyR</t>
  </si>
  <si>
    <t>AK01.04</t>
  </si>
  <si>
    <t>Cityworks Interface DMD</t>
  </si>
  <si>
    <t>AK01.66</t>
  </si>
  <si>
    <t>IT Enterprise Software Upgrades - Cityworks</t>
  </si>
  <si>
    <t>MD01.04</t>
  </si>
  <si>
    <t>Asbestos Cement Pipe Assessment Update</t>
  </si>
  <si>
    <t>GG41.03B</t>
  </si>
  <si>
    <t>Fish</t>
  </si>
  <si>
    <t>Rubber Dam 1 - Fish Ladder Miscellaneous Safety Modifications</t>
  </si>
  <si>
    <t>GG05.01</t>
  </si>
  <si>
    <t>Vallecitos Channel Storm Damage Repairs</t>
  </si>
  <si>
    <t>Vallecitos Channel Betterments</t>
  </si>
  <si>
    <t>GG41.01B</t>
  </si>
  <si>
    <t xml:space="preserve">Rubber Dam No. 1 - Fabric Replacement, Control Building &amp; Equipment </t>
  </si>
  <si>
    <t>Rubber Dam 1 - Fish Ladder</t>
  </si>
  <si>
    <t>GG13.01B</t>
  </si>
  <si>
    <t>Shinn Pond Fish Screen</t>
  </si>
  <si>
    <t>MD02.02</t>
  </si>
  <si>
    <t>SL &amp; Meters</t>
  </si>
  <si>
    <t>Water Meter Replacements - Medium Meters</t>
  </si>
  <si>
    <t>MD02.01</t>
  </si>
  <si>
    <t>Water Meter Replacements - Large Meters</t>
  </si>
  <si>
    <t>MD01.01</t>
  </si>
  <si>
    <t>Service Line Emergency Replacement Program</t>
  </si>
  <si>
    <t>MD01.02</t>
  </si>
  <si>
    <t>Service Line Incidental Replacement Program</t>
  </si>
  <si>
    <t>YI01.03B</t>
  </si>
  <si>
    <t>Watershed SCADA additions to Distribution SCADA</t>
  </si>
  <si>
    <t>AK01.04B</t>
  </si>
  <si>
    <t>IT - Cityworks for Groundwater Permits</t>
  </si>
  <si>
    <t>GA60.02</t>
  </si>
  <si>
    <t>Montecito Well Site Demolition</t>
  </si>
  <si>
    <t>GG42.03</t>
  </si>
  <si>
    <t>Rubber Dam 2 - Larinier Fishway</t>
  </si>
  <si>
    <t>PJ02.08B</t>
  </si>
  <si>
    <t>WTP2 Process Basin Concrete Grouting</t>
  </si>
  <si>
    <t>ST07.52</t>
  </si>
  <si>
    <t>Avalon Tank Slope Stabilization Improvements</t>
  </si>
  <si>
    <t>SR06.50</t>
  </si>
  <si>
    <t xml:space="preserve">Seismic </t>
  </si>
  <si>
    <t>Patterson Reservoir Remediation Project</t>
  </si>
  <si>
    <t>GG03.05</t>
  </si>
  <si>
    <t>Pit T-2 Slope Rehabilitation</t>
  </si>
  <si>
    <t>MD50.01B</t>
  </si>
  <si>
    <t>Inserta Valve Insertion Equipment</t>
  </si>
  <si>
    <t>MM80.11</t>
  </si>
  <si>
    <t>Main Renewals</t>
  </si>
  <si>
    <t>Main Renewal - Small Diameter Pipeline Renewal</t>
  </si>
  <si>
    <t>SeR</t>
  </si>
  <si>
    <t>MM8006</t>
  </si>
  <si>
    <t>Alvarado Niles Seismic Improvement Project - Main Renewal</t>
  </si>
  <si>
    <t>BB08.51</t>
  </si>
  <si>
    <t>Washington Booster Improvements (Phase 1 and 2)</t>
  </si>
  <si>
    <t>YI01.02B</t>
  </si>
  <si>
    <t>Distribution PLC Upgrade Program</t>
  </si>
  <si>
    <t>MM80.07</t>
  </si>
  <si>
    <t>Main Renewal - MR1 Driscoll</t>
  </si>
  <si>
    <t>PR</t>
  </si>
  <si>
    <t>PJ02.12</t>
  </si>
  <si>
    <t>TP2 Filter Press Polymer System Upgrade</t>
  </si>
  <si>
    <t>MD01.11</t>
  </si>
  <si>
    <t>Service Lines - Lead Evaluation</t>
  </si>
  <si>
    <t>MM80.08</t>
  </si>
  <si>
    <t>Main Renewal - MR3 Central Newark</t>
  </si>
  <si>
    <t>EE02.01B</t>
  </si>
  <si>
    <t>Engineering Report for CIP</t>
  </si>
  <si>
    <t>BB02.03B</t>
  </si>
  <si>
    <t>Curtner Road Booster Station Upgrade</t>
  </si>
  <si>
    <t>YI05.02B</t>
  </si>
  <si>
    <t>Communications Projects - Production and Storage</t>
  </si>
  <si>
    <t>YI01.01</t>
  </si>
  <si>
    <t>SCADA Systems Replacements</t>
  </si>
  <si>
    <t>HF</t>
  </si>
  <si>
    <t>AQ01.10</t>
  </si>
  <si>
    <t>Board Room Audio-Visual Upgrades</t>
  </si>
  <si>
    <t>YI01.01B</t>
  </si>
  <si>
    <t>SCADA Systems Infrastructure Upgrades</t>
  </si>
  <si>
    <t>YI50.02B</t>
  </si>
  <si>
    <t>Avalon System Fiber Optic Systems Upgrades</t>
  </si>
  <si>
    <t>SR02.01</t>
  </si>
  <si>
    <t>Decoto Reservoir Roof Replacement</t>
  </si>
  <si>
    <t>SR01.01</t>
  </si>
  <si>
    <t>Alameda Reservoir Roof Replacement</t>
  </si>
  <si>
    <t>PH01.54B</t>
  </si>
  <si>
    <t>Blending Facility Low Flow Control Modifications/Neat Feed</t>
  </si>
  <si>
    <t>GA09.01</t>
  </si>
  <si>
    <t>New Cedar ARP Wells</t>
  </si>
  <si>
    <t>BB16.02</t>
  </si>
  <si>
    <t>B16 WTP2 Zone 3 Booster Discharge Pipeline Replacement</t>
  </si>
  <si>
    <t>MM80.12</t>
  </si>
  <si>
    <t>Main Renewal - Lindsay Tract</t>
  </si>
  <si>
    <t>AK01.09</t>
  </si>
  <si>
    <t>IT Infrastructure Upgrades - Capital</t>
  </si>
  <si>
    <t>GA50.07</t>
  </si>
  <si>
    <t>Brackish Groundwater Reclamation Project</t>
  </si>
  <si>
    <t>GW01.60</t>
  </si>
  <si>
    <t>New Mowry Deep Aquifer Production Well</t>
  </si>
  <si>
    <t>MN01.01B</t>
  </si>
  <si>
    <t>21031A</t>
  </si>
  <si>
    <t>Cathodic Protection Improvements and Additions</t>
  </si>
  <si>
    <t>ST05.51B</t>
  </si>
  <si>
    <t>21121A</t>
  </si>
  <si>
    <t>MSJ Tank Improvements</t>
  </si>
  <si>
    <t>GG03.02B</t>
  </si>
  <si>
    <t>21168A</t>
  </si>
  <si>
    <t>Kaiser Pond Diversion Improvement Project</t>
  </si>
  <si>
    <t>FF</t>
  </si>
  <si>
    <t>MD01.10B</t>
  </si>
  <si>
    <t>21193A</t>
  </si>
  <si>
    <t>Zone Valve Relocation - Warm Springs</t>
  </si>
  <si>
    <t>BB90.01</t>
  </si>
  <si>
    <t>DS01</t>
  </si>
  <si>
    <t>District Participation - Booster Pump Stations</t>
  </si>
  <si>
    <t>AK02.51</t>
  </si>
  <si>
    <t>DS02</t>
  </si>
  <si>
    <t>Engineering Department - Capital Equipment and Materials</t>
  </si>
  <si>
    <t>MM80.20</t>
  </si>
  <si>
    <t>DS03</t>
  </si>
  <si>
    <t>Relocations</t>
  </si>
  <si>
    <t>Quarry Lakes Parkway Improvements - Relocations</t>
  </si>
  <si>
    <t>MM80.21</t>
  </si>
  <si>
    <t>DS04</t>
  </si>
  <si>
    <t>Central Avenue Grade Separation Improvements - Relocations</t>
  </si>
  <si>
    <t>AK01.70</t>
  </si>
  <si>
    <t>DS05</t>
  </si>
  <si>
    <t>Development Services Cityworks PLL Improvements</t>
  </si>
  <si>
    <t>EE03.01B</t>
  </si>
  <si>
    <t>E0002</t>
  </si>
  <si>
    <t>Program and 10 Year EIR Documentation</t>
  </si>
  <si>
    <t>PH02.53B</t>
  </si>
  <si>
    <t>E0007A</t>
  </si>
  <si>
    <t>Desalination Facility - Replace Chemical Piping</t>
  </si>
  <si>
    <t>PP01.02</t>
  </si>
  <si>
    <t>E0008</t>
  </si>
  <si>
    <t xml:space="preserve">M.J. Bernardo Softening Plant Decommissioning </t>
  </si>
  <si>
    <t>PP02.01</t>
  </si>
  <si>
    <t>E0009</t>
  </si>
  <si>
    <t>Nursery Softening Plant Decommissioning</t>
  </si>
  <si>
    <t>PJ02.10</t>
  </si>
  <si>
    <t>E0013</t>
  </si>
  <si>
    <t>WTP No. 2 - Second Filter Press</t>
  </si>
  <si>
    <t>BB06.02B</t>
  </si>
  <si>
    <t>E0015A</t>
  </si>
  <si>
    <t>Seven Hills Booster Station Study and Upgrade</t>
  </si>
  <si>
    <t>BB11.01</t>
  </si>
  <si>
    <t>E0018</t>
  </si>
  <si>
    <t>Whitfield Zone 3 Booster Station</t>
  </si>
  <si>
    <t>BB15.02</t>
  </si>
  <si>
    <t>E0020</t>
  </si>
  <si>
    <t>PR-1/MSJWTP Power Facility (Future)</t>
  </si>
  <si>
    <t>SR04.03</t>
  </si>
  <si>
    <t>E0026</t>
  </si>
  <si>
    <t>Mayhew Reservoir Control Valve Vault</t>
  </si>
  <si>
    <t>SR05.03</t>
  </si>
  <si>
    <t>E0027</t>
  </si>
  <si>
    <t>Middlefield Reservoir Roof - Improvements</t>
  </si>
  <si>
    <t>SR05.51</t>
  </si>
  <si>
    <t>E0029</t>
  </si>
  <si>
    <t>Middlefield - Lining/Structural/Mechanical/WQ Improvements</t>
  </si>
  <si>
    <t>SR06.01</t>
  </si>
  <si>
    <t>E0030</t>
  </si>
  <si>
    <t>Patterson Reservoir Roof Replacement</t>
  </si>
  <si>
    <t>SR06.03</t>
  </si>
  <si>
    <t>E0031</t>
  </si>
  <si>
    <t>Patterson Reservoir Water Quality Enhancement</t>
  </si>
  <si>
    <t>SR06.51</t>
  </si>
  <si>
    <t>E0033</t>
  </si>
  <si>
    <t>Patterson - Lining/Structural/Mechanical/WQ Improvements</t>
  </si>
  <si>
    <t>MM09.01</t>
  </si>
  <si>
    <t>E0040</t>
  </si>
  <si>
    <t>Peralta-BART Wellfield Pipeline 2600ft x 36-in</t>
  </si>
  <si>
    <t>MM11.02</t>
  </si>
  <si>
    <t>E0041</t>
  </si>
  <si>
    <t xml:space="preserve">Gallegos Avenue - MSJWTP2 Zone 3 Intertie, Phase 2 </t>
  </si>
  <si>
    <t>MM12.02</t>
  </si>
  <si>
    <t>E0042</t>
  </si>
  <si>
    <t>Zone 4 Intercom Pipeline, Phase 2 - 3,640 ft x 12-inch</t>
  </si>
  <si>
    <t>MM17.03B</t>
  </si>
  <si>
    <t>E0043</t>
  </si>
  <si>
    <t>Niles-Newark Intertie Pipeline, Fremont Phase</t>
  </si>
  <si>
    <t>MU01.01B</t>
  </si>
  <si>
    <t>E0050A</t>
  </si>
  <si>
    <t>FR1 Upgrade</t>
  </si>
  <si>
    <t>GG01.01</t>
  </si>
  <si>
    <t>E0060</t>
  </si>
  <si>
    <t>Bunting Pumping Plant Decommissioning</t>
  </si>
  <si>
    <t>GG02.11B</t>
  </si>
  <si>
    <t>E0066A</t>
  </si>
  <si>
    <t>Rock Pond to Horseshoe Lake Pipeline</t>
  </si>
  <si>
    <t>MM80.01</t>
  </si>
  <si>
    <t>E0077</t>
  </si>
  <si>
    <t>B</t>
  </si>
  <si>
    <t>Main Renewal Program</t>
  </si>
  <si>
    <t>MM80.09</t>
  </si>
  <si>
    <t>E0080</t>
  </si>
  <si>
    <t>Main Renewal - MR4 Cherry</t>
  </si>
  <si>
    <t>MM80.10</t>
  </si>
  <si>
    <t>E0081</t>
  </si>
  <si>
    <t>Main Renewal - MR5 Patterson</t>
  </si>
  <si>
    <t>ST08.01</t>
  </si>
  <si>
    <t>E0082</t>
  </si>
  <si>
    <t>Tamarack Knolls Tank</t>
  </si>
  <si>
    <t>ST90.01</t>
  </si>
  <si>
    <t>E0083</t>
  </si>
  <si>
    <t>C</t>
  </si>
  <si>
    <t>District Participation - Tanks at Upper Zones</t>
  </si>
  <si>
    <t>GG03.03</t>
  </si>
  <si>
    <t>E0084</t>
  </si>
  <si>
    <t>Kaiser Pit BHF Rehabilitation</t>
  </si>
  <si>
    <t>AQ01.11</t>
  </si>
  <si>
    <t>E0085</t>
  </si>
  <si>
    <t>Board Room Rehab and Reconfigure</t>
  </si>
  <si>
    <t>PJ01.55</t>
  </si>
  <si>
    <t>E0086</t>
  </si>
  <si>
    <t>MSJWTP Recommission and Upgrade</t>
  </si>
  <si>
    <t>E0087</t>
  </si>
  <si>
    <t>Vallecitos Channel Pipeline Installation</t>
  </si>
  <si>
    <t>E0090</t>
  </si>
  <si>
    <t>Distribution System Seismic Study Update</t>
  </si>
  <si>
    <t>PF11.70</t>
  </si>
  <si>
    <t>E0100</t>
  </si>
  <si>
    <t>A</t>
  </si>
  <si>
    <t>Paseo Padre Take-off Utilization Study &amp; Pipeline Project</t>
  </si>
  <si>
    <t>PJ02.07</t>
  </si>
  <si>
    <t>E0101</t>
  </si>
  <si>
    <t xml:space="preserve">WTP2 Hose-less, Cable-driven Sludge Removal System </t>
  </si>
  <si>
    <t>E0102</t>
  </si>
  <si>
    <t>WTP2 Improvements to Solids Handling and Filter Backwashing</t>
  </si>
  <si>
    <t>E0103</t>
  </si>
  <si>
    <t>WTP2 Redundancy and Reliability of Filter Press</t>
  </si>
  <si>
    <t>PJ02-13</t>
  </si>
  <si>
    <t>E0104</t>
  </si>
  <si>
    <t>WTP2 Increased Chemical Delivery and Storage</t>
  </si>
  <si>
    <t>MM60.02</t>
  </si>
  <si>
    <t>E0105</t>
  </si>
  <si>
    <t>Distribution Pressure Study in Newark</t>
  </si>
  <si>
    <t>BB16.03</t>
  </si>
  <si>
    <t>E0107</t>
  </si>
  <si>
    <t>B16 Booster Station Improvements</t>
  </si>
  <si>
    <t>MM80.13</t>
  </si>
  <si>
    <t>E0108</t>
  </si>
  <si>
    <t>Paseo Padre and 680 Bridge overpass</t>
  </si>
  <si>
    <t>MM80.14</t>
  </si>
  <si>
    <t>E0109</t>
  </si>
  <si>
    <t>Central Avenue Main Renewal</t>
  </si>
  <si>
    <t>MM80.15</t>
  </si>
  <si>
    <t>E0110</t>
  </si>
  <si>
    <t>Mission Phase 1 Main Renewal</t>
  </si>
  <si>
    <t>MM80.16</t>
  </si>
  <si>
    <t>E0111</t>
  </si>
  <si>
    <t>Mission Phase 2 Main Renewal</t>
  </si>
  <si>
    <t>MM80.18</t>
  </si>
  <si>
    <t>E0113</t>
  </si>
  <si>
    <t>Osgood Main Renewal</t>
  </si>
  <si>
    <t>MM80.19</t>
  </si>
  <si>
    <t>E0115</t>
  </si>
  <si>
    <t>Stevenson Main Renewal</t>
  </si>
  <si>
    <t>E0116</t>
  </si>
  <si>
    <t>Small Diameter Main Renewal - Fremont Sites</t>
  </si>
  <si>
    <t>MM80.22</t>
  </si>
  <si>
    <t>E0117</t>
  </si>
  <si>
    <t>Small Diameter Main Renewal – Dairy St and H Street</t>
  </si>
  <si>
    <t>MM80.23</t>
  </si>
  <si>
    <t>E0118</t>
  </si>
  <si>
    <t>Main Renewal – Peralta Blender to Fremont Boulevard</t>
  </si>
  <si>
    <t>MM80.24</t>
  </si>
  <si>
    <t>E0119</t>
  </si>
  <si>
    <t>Main Renewal – Mission Blvd at Tamarack Knolls</t>
  </si>
  <si>
    <t>AK01.64</t>
  </si>
  <si>
    <t>IT03</t>
  </si>
  <si>
    <t>IT Enterprise Software Upgrades - Cayenta</t>
  </si>
  <si>
    <t>AK01.10</t>
  </si>
  <si>
    <t>IT06</t>
  </si>
  <si>
    <t>IT Records Management Project</t>
  </si>
  <si>
    <t>YI06.03</t>
  </si>
  <si>
    <t>IT09</t>
  </si>
  <si>
    <t>Electrical Redundancy &amp; Reliability for IT Systems</t>
  </si>
  <si>
    <t>AK01.69</t>
  </si>
  <si>
    <t>IT10</t>
  </si>
  <si>
    <t>Technology Master Plan</t>
  </si>
  <si>
    <t>AK03.53</t>
  </si>
  <si>
    <t>OPOS0308</t>
  </si>
  <si>
    <t>Facility Division Asset Management Master Plan</t>
  </si>
  <si>
    <t>CJ</t>
  </si>
  <si>
    <t>MD01.09</t>
  </si>
  <si>
    <t>OPS0003</t>
  </si>
  <si>
    <t>Customer Contributions</t>
  </si>
  <si>
    <t>CUSTOMER CAPITAL CONTRIBUTIONS</t>
  </si>
  <si>
    <t>MD50.01</t>
  </si>
  <si>
    <t>OPS0004</t>
  </si>
  <si>
    <t>Distribution System Large Valve Replacement Program</t>
  </si>
  <si>
    <t>V</t>
  </si>
  <si>
    <t>AV01.52</t>
  </si>
  <si>
    <t>OPS0006</t>
  </si>
  <si>
    <t>Equipment and Tools - Distribution Maintenance</t>
  </si>
  <si>
    <t>AK03.52</t>
  </si>
  <si>
    <t>OPS0007</t>
  </si>
  <si>
    <t>Water Quality Laboratory Equipment Program</t>
  </si>
  <si>
    <t>PJ02.62</t>
  </si>
  <si>
    <t>OPS0008</t>
  </si>
  <si>
    <t>WTP2 Filter Media Replacement</t>
  </si>
  <si>
    <t>PH02.52B</t>
  </si>
  <si>
    <t>OPS0009A</t>
  </si>
  <si>
    <t>Membranes for Desal Facility</t>
  </si>
  <si>
    <t>AK03.62</t>
  </si>
  <si>
    <t>OPS0010</t>
  </si>
  <si>
    <t>Water Quality Extraordinary Expenses</t>
  </si>
  <si>
    <t>AV01.54</t>
  </si>
  <si>
    <t>OPS0011</t>
  </si>
  <si>
    <t>Equipment and Tools - General Facilities</t>
  </si>
  <si>
    <t>AQ01.03</t>
  </si>
  <si>
    <t>OPS0012</t>
  </si>
  <si>
    <t>Headquarter Facility -HVAC Upgrades</t>
  </si>
  <si>
    <t>AQ01.51C</t>
  </si>
  <si>
    <t>OPS0013A</t>
  </si>
  <si>
    <t>Headquarters Facility Improvement/ Equipment Replacement</t>
  </si>
  <si>
    <t>AQ01.52</t>
  </si>
  <si>
    <t>OPS0014</t>
  </si>
  <si>
    <t>Headquarter Facility- Reroof Building Office and Garage</t>
  </si>
  <si>
    <t>AV01.53</t>
  </si>
  <si>
    <t>OPS0015</t>
  </si>
  <si>
    <t>Equipment and Tools - Facilities Maintenance</t>
  </si>
  <si>
    <t>PW03.51B</t>
  </si>
  <si>
    <t>OPS0016A</t>
  </si>
  <si>
    <t>Mowry and PT Wellfields - Replacement Pumping Equipment</t>
  </si>
  <si>
    <t>PH02.51B</t>
  </si>
  <si>
    <t>OPS0017A</t>
  </si>
  <si>
    <t>Desal Facility Improvements / Equipment Replacements</t>
  </si>
  <si>
    <t>PJ02.51C</t>
  </si>
  <si>
    <t>OPS0018A</t>
  </si>
  <si>
    <t>WTP No.2 Improvements and Equipment Replacements</t>
  </si>
  <si>
    <t>BB13.51B</t>
  </si>
  <si>
    <t>OPS0020A</t>
  </si>
  <si>
    <t>Avalon Heights Booster Improvements and Equipment Replacements</t>
  </si>
  <si>
    <t>GA50.04</t>
  </si>
  <si>
    <t>OPS0025</t>
  </si>
  <si>
    <t xml:space="preserve">Willowood &amp; Coronado Well Demolition </t>
  </si>
  <si>
    <t>GA50.05</t>
  </si>
  <si>
    <t>OPS0026</t>
  </si>
  <si>
    <t>Desal Production Well Equipment Replacement</t>
  </si>
  <si>
    <t>AV01.01</t>
  </si>
  <si>
    <t>OPS0027</t>
  </si>
  <si>
    <t>Vehicle Capital - Air Quality Reg'd Equip Upgrades</t>
  </si>
  <si>
    <t>AV01.03</t>
  </si>
  <si>
    <t>OPS0028</t>
  </si>
  <si>
    <t>Vehicle Capital - Construction Equipment and Machinery</t>
  </si>
  <si>
    <t>AV01.04</t>
  </si>
  <si>
    <t>OPS0029</t>
  </si>
  <si>
    <t>Vehicle Capital - Heavy -Duty Vehicles</t>
  </si>
  <si>
    <t>AV01.02</t>
  </si>
  <si>
    <t>OPS0030</t>
  </si>
  <si>
    <t>Vehicle Capital - Light Duty Vehicles</t>
  </si>
  <si>
    <t>MU05.01B</t>
  </si>
  <si>
    <t>OPS0102A</t>
  </si>
  <si>
    <t>Dry Creek Regulator Upgrade</t>
  </si>
  <si>
    <t>PW50.01B</t>
  </si>
  <si>
    <t>OPS0104A</t>
  </si>
  <si>
    <t>Wellfield General Improvements and Equipment Replacements</t>
  </si>
  <si>
    <t>MU50.02</t>
  </si>
  <si>
    <t>OPS0111</t>
  </si>
  <si>
    <t>Regulator Site Improvements and Equipment Replacements</t>
  </si>
  <si>
    <t>AK02.01</t>
  </si>
  <si>
    <t>OPS0112</t>
  </si>
  <si>
    <t>Removal of Nichols and Bunting Houses</t>
  </si>
  <si>
    <t>PH01.51B</t>
  </si>
  <si>
    <t>OPS0113A</t>
  </si>
  <si>
    <t xml:space="preserve">PT Blending Facility Improvements </t>
  </si>
  <si>
    <t>PH01.55</t>
  </si>
  <si>
    <t>OPS0202</t>
  </si>
  <si>
    <t>Re-pipe Blending Facility S-1 sample line</t>
  </si>
  <si>
    <t>AK03.64</t>
  </si>
  <si>
    <t>OPS0205</t>
  </si>
  <si>
    <t>School lead testing</t>
  </si>
  <si>
    <t>OPS0300</t>
  </si>
  <si>
    <t>Facilities Maintenance Shop</t>
  </si>
  <si>
    <t>BB09.51</t>
  </si>
  <si>
    <t>OPS0302</t>
  </si>
  <si>
    <t xml:space="preserve">R03/B09 - Whitfield Reservoir and Zone 2 Booster Electrical </t>
  </si>
  <si>
    <t>SR80.01B</t>
  </si>
  <si>
    <t>OPS0303</t>
  </si>
  <si>
    <t>T03 - Hidden Valley Tank Seismic Upgrade Phase II</t>
  </si>
  <si>
    <t>YI01.04</t>
  </si>
  <si>
    <t>OPS0304</t>
  </si>
  <si>
    <t>H02 - Foundation Fieldbus Replacement</t>
  </si>
  <si>
    <t>YI06.01</t>
  </si>
  <si>
    <t>OPS0305</t>
  </si>
  <si>
    <t>Facility Arc Flash Calculation and Labeling</t>
  </si>
  <si>
    <t>GA50.06</t>
  </si>
  <si>
    <t>OPS0308</t>
  </si>
  <si>
    <t>Desal Supply Well Pilot Study</t>
  </si>
  <si>
    <t>ST50.01</t>
  </si>
  <si>
    <t>OPS0310</t>
  </si>
  <si>
    <t>Tanks- Facility Improvements/ Equipment Replacement</t>
  </si>
  <si>
    <t>SR50.01</t>
  </si>
  <si>
    <t>OPS0311</t>
  </si>
  <si>
    <t>Reservoir- Facility Improvements/ Equipment Replacement</t>
  </si>
  <si>
    <t>BB50.01</t>
  </si>
  <si>
    <t>OPS0312</t>
  </si>
  <si>
    <t xml:space="preserve">Booster Stations- Facility Improvements </t>
  </si>
  <si>
    <t>MD01.12</t>
  </si>
  <si>
    <t>OPS0314</t>
  </si>
  <si>
    <t>Distribution Leak Detection System</t>
  </si>
  <si>
    <t>SR01.51</t>
  </si>
  <si>
    <t>OPS0315</t>
  </si>
  <si>
    <t>Alameda Reservoir Chlortec WQ system replacement</t>
  </si>
  <si>
    <t>OPS0316</t>
  </si>
  <si>
    <t>WTP-2 chlorine system upgrades</t>
  </si>
  <si>
    <t>PH01.08</t>
  </si>
  <si>
    <t>OPS0317</t>
  </si>
  <si>
    <t>PFAS treatment (CIP)</t>
  </si>
  <si>
    <t>PW03.02</t>
  </si>
  <si>
    <t>OPS0318</t>
  </si>
  <si>
    <t xml:space="preserve">PFAS related wellfield or distribution system modifications </t>
  </si>
  <si>
    <t>OPS0319</t>
  </si>
  <si>
    <t>PFAS treatment study (EE)</t>
  </si>
  <si>
    <t>OPS0320</t>
  </si>
  <si>
    <t>PFAS monitoring program</t>
  </si>
  <si>
    <t>AQ01.12</t>
  </si>
  <si>
    <t>OPS0321</t>
  </si>
  <si>
    <t>HQ Electrical Infrastructure Replacement &amp; Upgrade</t>
  </si>
  <si>
    <t>SR02.51</t>
  </si>
  <si>
    <t>OPS0322</t>
  </si>
  <si>
    <t>Decoto Reservoir Electrical Infrastructure Replacement</t>
  </si>
  <si>
    <t>PW04.51</t>
  </si>
  <si>
    <t>OPS0323</t>
  </si>
  <si>
    <t>Nursery Well Electrical Infrastructure Replacement</t>
  </si>
  <si>
    <t>PW07.51</t>
  </si>
  <si>
    <t>OPS0324</t>
  </si>
  <si>
    <t>Whipple Well Electrical Infrastructure Replacement</t>
  </si>
  <si>
    <t>SR04.51</t>
  </si>
  <si>
    <t>OPS0325</t>
  </si>
  <si>
    <t>Mayhew Reservoir Electrical Infrastructure Replacement</t>
  </si>
  <si>
    <t>PJ01.50</t>
  </si>
  <si>
    <t>OPS0326</t>
  </si>
  <si>
    <t>MSJWTP Improvements &amp; Equipment Replacements</t>
  </si>
  <si>
    <t>YI01.06</t>
  </si>
  <si>
    <t>OPS0328</t>
  </si>
  <si>
    <t>Desal PLC Upgrade Project</t>
  </si>
  <si>
    <t>MD02.03</t>
  </si>
  <si>
    <t>OPS0329</t>
  </si>
  <si>
    <t>Water Meter Replacements - Small Meters</t>
  </si>
  <si>
    <t>MD60.04</t>
  </si>
  <si>
    <t>OPS0330</t>
  </si>
  <si>
    <t>Meter Test Bench Upgrades</t>
  </si>
  <si>
    <t>YI01.07</t>
  </si>
  <si>
    <t>OPS0331</t>
  </si>
  <si>
    <t>Blending Facility PLC Replacements</t>
  </si>
  <si>
    <t>OPS0333</t>
  </si>
  <si>
    <t>Vineyard Heights Tank site stability</t>
  </si>
  <si>
    <t>OPS0334</t>
  </si>
  <si>
    <t>TP2 Process Block Construction Joint Assessment and Sealing</t>
  </si>
  <si>
    <t>AV01.55</t>
  </si>
  <si>
    <t>OPS0335</t>
  </si>
  <si>
    <t>Vehicle Capital - Leased Vehicle</t>
  </si>
  <si>
    <t>AV01.70</t>
  </si>
  <si>
    <t>OPS0400</t>
  </si>
  <si>
    <t>Zero Emission Fleet Transition Master Plan</t>
  </si>
  <si>
    <t>PW01.03</t>
  </si>
  <si>
    <t>OPS0401</t>
  </si>
  <si>
    <t>Mowry Generator Fuel Tank Replacement</t>
  </si>
  <si>
    <t>PH02.54</t>
  </si>
  <si>
    <t>OPS0402</t>
  </si>
  <si>
    <t>Replace Desal Backup Generator</t>
  </si>
  <si>
    <t>PJ02.52</t>
  </si>
  <si>
    <t>OPS0403</t>
  </si>
  <si>
    <t>Replace TP2 chemical lines</t>
  </si>
  <si>
    <t>PH01.07</t>
  </si>
  <si>
    <t>OPS0404</t>
  </si>
  <si>
    <t>Replace Blender chemical lines</t>
  </si>
  <si>
    <t>PJ02.04</t>
  </si>
  <si>
    <t>OPS0405</t>
  </si>
  <si>
    <t>Evaluate and Replace TP2 electrical equipment</t>
  </si>
  <si>
    <t>MM08.07</t>
  </si>
  <si>
    <t>OPS0406</t>
  </si>
  <si>
    <t xml:space="preserve">Mowry Wellfield Raw Water Conveyance Pipelines Rehabilitation </t>
  </si>
  <si>
    <t>MM16.03</t>
  </si>
  <si>
    <t>OPS0407</t>
  </si>
  <si>
    <t>Desal BPW Main Renewal</t>
  </si>
  <si>
    <t>WZ04.01</t>
  </si>
  <si>
    <t>W0002</t>
  </si>
  <si>
    <t>Water Reclamation, Phase 1</t>
  </si>
  <si>
    <t>PW09.02B</t>
  </si>
  <si>
    <t>W0003A</t>
  </si>
  <si>
    <t>New Below Hayward Fault Production Well Installation</t>
  </si>
  <si>
    <t>PW02.06B</t>
  </si>
  <si>
    <t>W0006A</t>
  </si>
  <si>
    <t>New Peralta-Tyson Production Wells Installation</t>
  </si>
  <si>
    <t>GG50.03</t>
  </si>
  <si>
    <t>W0008</t>
  </si>
  <si>
    <t>GW Basin Reclamation and Protection Improvements</t>
  </si>
  <si>
    <t>GA07.02</t>
  </si>
  <si>
    <t>W0012</t>
  </si>
  <si>
    <t>Convert Lowry Well to Standby Well</t>
  </si>
  <si>
    <t>GG50.01</t>
  </si>
  <si>
    <t>W0101</t>
  </si>
  <si>
    <t>GW Supply Facilities Improv/Equip Replacements</t>
  </si>
  <si>
    <t>GG50.05</t>
  </si>
  <si>
    <t>W0102</t>
  </si>
  <si>
    <t>Fisheries SCADA integration</t>
  </si>
  <si>
    <t>GG50.08</t>
  </si>
  <si>
    <t>W0104</t>
  </si>
  <si>
    <t>Groundwater SGMA Enhancement</t>
  </si>
  <si>
    <t>GG43.03B</t>
  </si>
  <si>
    <t>W0105</t>
  </si>
  <si>
    <t>Fish Passage Facility Grating Assessment</t>
  </si>
  <si>
    <t>GS01.01</t>
  </si>
  <si>
    <t>W0106</t>
  </si>
  <si>
    <t>Site A ARP Well Outfall</t>
  </si>
  <si>
    <t>G11.50</t>
  </si>
  <si>
    <t>W0109</t>
  </si>
  <si>
    <t>Fisheries Facilities Modifications</t>
  </si>
  <si>
    <t>GG06.02</t>
  </si>
  <si>
    <t>W0110</t>
  </si>
  <si>
    <t>ACWD Groundwater Alternative Data Gap Project</t>
  </si>
  <si>
    <t>GG70.03</t>
  </si>
  <si>
    <t>W0111</t>
  </si>
  <si>
    <t>Alameda Creek Low Flow Channel Evaluation</t>
  </si>
  <si>
    <t>N/A</t>
  </si>
  <si>
    <t>Misc Extraordinary Expenditures</t>
  </si>
  <si>
    <t>Program Total (Including Ext. Expenses &amp; Customer Jobs)</t>
  </si>
  <si>
    <t>Customer Jobs</t>
  </si>
  <si>
    <t>GF</t>
  </si>
  <si>
    <t>GF: Extraordinary Expense</t>
  </si>
  <si>
    <t>GF: Capital</t>
  </si>
  <si>
    <t>Program Total (Including Ext. Expense) minus Customer Jobs:</t>
  </si>
  <si>
    <t>FIF: ALL 0.20 changed to 0.226</t>
  </si>
  <si>
    <t>GROWTH CIP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</si>
</sst>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* #,_);_(* \(#,##0\);_(* &quot;-&quot;??_);_(@_)"/>
    <numFmt numFmtId="167" formatCode="0.000"/>
    <numFmt numFmtId="168" formatCode="0.0"/>
    <numFmt numFmtId="169" formatCode="#,##0,&quot;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theme="1"/>
      <name val="Times New Roman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3">
    <xf numFmtId="0" fontId="0" fillId="0" borderId="0"/>
    <xf numFmtId="0" fontId="2" fillId="2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165" fontId="12" fillId="0" borderId="0" xfId="7" applyNumberFormat="1" applyFont="1" applyFill="1" applyAlignment="1"/>
    <xf numFmtId="0" fontId="12" fillId="0" borderId="0" xfId="8" applyFont="1" applyAlignment="1">
      <alignment horizontal="center"/>
    </xf>
    <xf numFmtId="166" fontId="11" fillId="0" borderId="0" xfId="0" applyNumberFormat="1" applyFont="1"/>
    <xf numFmtId="0" fontId="8" fillId="0" borderId="1" xfId="1" applyFont="1" applyFill="1" applyBorder="1" applyAlignment="1">
      <alignment horizontal="center" vertical="center" wrapText="1"/>
    </xf>
    <xf numFmtId="165" fontId="13" fillId="0" borderId="1" xfId="7" applyNumberFormat="1" applyFont="1" applyFill="1" applyBorder="1" applyAlignment="1">
      <alignment horizontal="center" vertical="center"/>
    </xf>
    <xf numFmtId="165" fontId="8" fillId="0" borderId="1" xfId="7" applyNumberFormat="1" applyFont="1" applyFill="1" applyBorder="1" applyAlignment="1">
      <alignment horizontal="center" vertical="center"/>
    </xf>
    <xf numFmtId="165" fontId="8" fillId="0" borderId="6" xfId="7" applyNumberFormat="1" applyFont="1" applyFill="1" applyBorder="1" applyAlignment="1">
      <alignment horizontal="center" vertical="center"/>
    </xf>
    <xf numFmtId="165" fontId="4" fillId="0" borderId="0" xfId="9" applyNumberFormat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 wrapText="1"/>
    </xf>
    <xf numFmtId="0" fontId="1" fillId="0" borderId="0" xfId="10"/>
    <xf numFmtId="0" fontId="14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1" fillId="0" borderId="0" xfId="9" applyNumberFormat="1" applyFont="1" applyFill="1"/>
    <xf numFmtId="0" fontId="3" fillId="0" borderId="8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7" fontId="3" fillId="0" borderId="0" xfId="0" applyNumberFormat="1" applyFont="1"/>
    <xf numFmtId="168" fontId="3" fillId="0" borderId="0" xfId="0" applyNumberFormat="1" applyFont="1"/>
    <xf numFmtId="168" fontId="3" fillId="0" borderId="0" xfId="0" applyNumberFormat="1" applyFont="1" applyAlignment="1">
      <alignment horizontal="center" vertical="center"/>
    </xf>
    <xf numFmtId="169" fontId="16" fillId="0" borderId="8" xfId="0" applyNumberFormat="1" applyFont="1" applyBorder="1"/>
    <xf numFmtId="165" fontId="11" fillId="0" borderId="0" xfId="0" applyNumberFormat="1" applyFont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0" xfId="0" applyNumberFormat="1"/>
    <xf numFmtId="168" fontId="0" fillId="0" borderId="0" xfId="0" applyNumberFormat="1"/>
    <xf numFmtId="168" fontId="0" fillId="0" borderId="0" xfId="0" applyNumberFormat="1" applyAlignment="1">
      <alignment horizontal="center" vertical="center"/>
    </xf>
    <xf numFmtId="169" fontId="11" fillId="0" borderId="8" xfId="0" applyNumberFormat="1" applyFont="1" applyBorder="1"/>
    <xf numFmtId="0" fontId="11" fillId="0" borderId="0" xfId="0" applyFont="1" applyAlignment="1">
      <alignment horizontal="left" vertical="center"/>
    </xf>
    <xf numFmtId="0" fontId="10" fillId="0" borderId="0" xfId="0" applyFont="1"/>
    <xf numFmtId="168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68" fontId="16" fillId="0" borderId="0" xfId="0" applyNumberFormat="1" applyFont="1" applyAlignment="1">
      <alignment horizontal="center" vertical="center"/>
    </xf>
    <xf numFmtId="0" fontId="16" fillId="0" borderId="0" xfId="11" applyFont="1" applyAlignment="1">
      <alignment horizontal="left"/>
    </xf>
    <xf numFmtId="4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/>
    <xf numFmtId="4" fontId="0" fillId="0" borderId="0" xfId="0" applyNumberFormat="1" applyAlignment="1">
      <alignment vertical="center"/>
    </xf>
    <xf numFmtId="165" fontId="8" fillId="0" borderId="0" xfId="0" applyNumberFormat="1" applyFont="1"/>
    <xf numFmtId="6" fontId="17" fillId="0" borderId="0" xfId="11" applyNumberFormat="1" applyFont="1"/>
    <xf numFmtId="0" fontId="18" fillId="0" borderId="0" xfId="11" applyFont="1" applyAlignment="1">
      <alignment horizontal="right" vertical="center"/>
    </xf>
    <xf numFmtId="169" fontId="11" fillId="0" borderId="2" xfId="0" applyNumberFormat="1" applyFont="1" applyBorder="1"/>
    <xf numFmtId="169" fontId="0" fillId="0" borderId="2" xfId="0" applyNumberFormat="1" applyBorder="1"/>
    <xf numFmtId="0" fontId="18" fillId="0" borderId="5" xfId="11" applyFont="1" applyBorder="1" applyAlignment="1">
      <alignment horizontal="right" vertical="center"/>
    </xf>
    <xf numFmtId="0" fontId="19" fillId="0" borderId="0" xfId="11" applyFont="1" applyAlignment="1">
      <alignment horizontal="right" vertical="center"/>
    </xf>
    <xf numFmtId="169" fontId="16" fillId="0" borderId="2" xfId="0" applyNumberFormat="1" applyFont="1" applyBorder="1"/>
    <xf numFmtId="0" fontId="18" fillId="0" borderId="9" xfId="11" applyFont="1" applyBorder="1" applyAlignment="1">
      <alignment horizontal="right" vertical="center"/>
    </xf>
    <xf numFmtId="9" fontId="11" fillId="0" borderId="0" xfId="12" applyFont="1" applyFill="1"/>
    <xf numFmtId="165" fontId="8" fillId="0" borderId="6" xfId="7" applyNumberFormat="1" applyFont="1" applyFill="1" applyBorder="1" applyAlignment="1">
      <alignment horizontal="center" vertical="center" wrapText="1"/>
    </xf>
    <xf numFmtId="165" fontId="8" fillId="0" borderId="7" xfId="7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165" fontId="8" fillId="0" borderId="6" xfId="7" applyNumberFormat="1" applyFont="1" applyFill="1" applyBorder="1" applyAlignment="1">
      <alignment horizontal="center" vertical="center"/>
    </xf>
    <xf numFmtId="9" fontId="8" fillId="0" borderId="1" xfId="1" applyNumberFormat="1" applyFont="1" applyFill="1" applyBorder="1" applyAlignment="1">
      <alignment horizontal="center" vertical="center"/>
    </xf>
    <xf numFmtId="9" fontId="8" fillId="0" borderId="6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6" xfId="1" applyNumberFormat="1" applyFont="1" applyFill="1" applyBorder="1" applyAlignment="1">
      <alignment horizontal="center" vertical="center"/>
    </xf>
  </cellXfs>
  <cellStyles count="13">
    <cellStyle name="Comma 2" xfId="6" xr:uid="{818112BE-52AB-438D-AC42-561E9342E701}"/>
    <cellStyle name="Currency 2" xfId="7" xr:uid="{A2DF7023-46E2-43C4-A3FE-7B558F62BAB5}"/>
    <cellStyle name="Currency 4" xfId="9" xr:uid="{375BD5BF-A266-404B-9B5B-17F71D483A6D}"/>
    <cellStyle name="Good" xfId="1" builtinId="26"/>
    <cellStyle name="Normal" xfId="0" builtinId="0"/>
    <cellStyle name="Normal 2" xfId="5" xr:uid="{D34D13F2-3054-4300-8027-F66C7775B14C}"/>
    <cellStyle name="Normal 2 2" xfId="11" xr:uid="{9E16D92D-E8A9-4E54-889F-946CE861FF40}"/>
    <cellStyle name="Normal 2 2 2" xfId="4" xr:uid="{8B96D0D5-E52A-479B-871B-78768C54147C}"/>
    <cellStyle name="Normal 2 3" xfId="2" xr:uid="{1CD70180-43CB-4008-B67F-4C20CD6C042D}"/>
    <cellStyle name="Normal 7" xfId="8" xr:uid="{F7D0E3A4-0234-4B9D-9D65-D678FC1F2AFC}"/>
    <cellStyle name="Normal 8" xfId="10" xr:uid="{22C3A0D5-D81D-46E0-92F1-99D1E80D8ACC}"/>
    <cellStyle name="Percent 2" xfId="3" xr:uid="{5C68EDF5-A8CC-4641-93A3-6A25C25192BE}"/>
    <cellStyle name="Percent 3" xfId="12" xr:uid="{4C80BE33-0BE6-47B4-9E8A-15BB6F3C39AE}"/>
  </cellStyles>
  <dxfs count="47"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numFmt numFmtId="168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8" formatCode="0.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7" formatCode="0.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0045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5132F2-8655-4B2A-B511-AE4B8B6BB583}" name="Table_2021_CIP" displayName="Table_2021_CIP" ref="B8:AT207" totalsRowShown="0" headerRowDxfId="46" dataDxfId="45">
  <autoFilter ref="B8:AT207" xr:uid="{9BDBAA61-611F-4568-A4BA-7959B2F2D539}"/>
  <tableColumns count="45">
    <tableColumn id="1" xr3:uid="{24B26E92-33E6-4348-99E0-908D513476BF}" name="BudgetCode" dataDxfId="44"/>
    <tableColumn id="2" xr3:uid="{9CB204BC-8222-4D59-9E9F-92FF85F2B2AC}" name="ExtExpense" dataDxfId="43"/>
    <tableColumn id="3" xr3:uid="{C2640002-C1C6-4C52-BB54-6B8785B17450}" name="RequestOrg" dataDxfId="42"/>
    <tableColumn id="4" xr3:uid="{D1578C24-E954-4168-8024-98F00DDBD9A8}" name="LeadOrg" dataDxfId="41"/>
    <tableColumn id="5" xr3:uid="{C4EEE644-6E3F-473B-B507-5021FB001C04}" name="BondFunded" dataDxfId="40"/>
    <tableColumn id="6" xr3:uid="{6B45D0FD-70A9-4502-99D5-2682CD4C0C56}" name="Category" dataDxfId="39"/>
    <tableColumn id="7" xr3:uid="{DC943A9F-7F00-4F4A-9D52-7FEAF06325D5}" name="CIPNumber" dataDxfId="38"/>
    <tableColumn id="8" xr3:uid="{20B06674-06D8-40B2-BC49-C55F62A3B4C9}" name="JobOrIDNo" dataDxfId="37"/>
    <tableColumn id="38" xr3:uid="{517402EC-2433-417F-9BC2-E1309ED52EC5}" name="Type" dataDxfId="36"/>
    <tableColumn id="39" xr3:uid="{D54D4F37-C4F8-4BB1-9BC3-A8A3808DA707}" name="Goal #" dataDxfId="35"/>
    <tableColumn id="45" xr3:uid="{F8B752C9-23B7-4CA1-A740-8486615FAA6A}" name="Column3" dataDxfId="34"/>
    <tableColumn id="9" xr3:uid="{3AD7DAB1-EC3D-4C93-8386-A616720E0768}" name="FIF" dataDxfId="33"/>
    <tableColumn id="49" xr3:uid="{FD763BCE-F5B7-4BB6-AA14-AD277E874CBC}" name="Column2" dataDxfId="32"/>
    <tableColumn id="48" xr3:uid="{4EC4CAC9-3DC8-4C1E-AD3A-68CF103D1664}" name="Column1" dataDxfId="31">
      <calculatedColumnFormula>IF(Table_2021_CIP[[#This Row],[Column2]]&lt;10,"A",IF(Table_2021_CIP[[#This Row],[Column2]]&gt;19,"C","B"))</calculatedColumnFormula>
    </tableColumn>
    <tableColumn id="10" xr3:uid="{AFC85E2A-DCB4-4C40-A631-847B3D5E7776}" name="Title" dataDxfId="30"/>
    <tableColumn id="12" xr3:uid="{2FDFCFD9-9A4A-444D-B85F-6C5FD34E02DD}" name="22-23" dataDxfId="29"/>
    <tableColumn id="13" xr3:uid="{B1533657-7062-4A57-B1A0-24B8B125C8DC}" name="TotalYR1" dataDxfId="28"/>
    <tableColumn id="14" xr3:uid="{171AF73B-43FA-4259-80B0-147C49FD758A}" name="TotalYR2" dataDxfId="27"/>
    <tableColumn id="15" xr3:uid="{21E0D9AF-A089-479C-8166-803961EDD80C}" name="25-26" dataDxfId="26"/>
    <tableColumn id="16" xr3:uid="{D63C7B8A-0649-4A05-98CE-609C010E1D27}" name="26-27" dataDxfId="25"/>
    <tableColumn id="17" xr3:uid="{9A6F8F0E-8CE5-4631-8695-52499AB055D8}" name="27-28" dataDxfId="24"/>
    <tableColumn id="18" xr3:uid="{6A90D5A8-7D94-4FD5-8948-A74DCCB71843}" name="28-29" dataDxfId="23"/>
    <tableColumn id="19" xr3:uid="{D58E02D5-01AC-46BB-BA1E-C0F6CC797A70}" name="29-30" dataDxfId="22"/>
    <tableColumn id="20" xr3:uid="{6F00A88A-C040-44FB-80B4-40CBA0D11E7E}" name="30-31" dataDxfId="21"/>
    <tableColumn id="21" xr3:uid="{D6984D87-EB72-4BA4-93F8-03A711AEEA6B}" name="31-32" dataDxfId="20"/>
    <tableColumn id="22" xr3:uid="{1DC66936-66CF-47AF-83FC-0E93EC07DD7C}" name="32-33" dataDxfId="19"/>
    <tableColumn id="23" xr3:uid="{D2DB2280-25B3-465A-9D98-A1B680B10E8C}" name="33-34" dataDxfId="18"/>
    <tableColumn id="24" xr3:uid="{8813322A-6497-4EC8-AE93-38710E712F1B}" name="34-35" dataDxfId="17"/>
    <tableColumn id="25" xr3:uid="{953F03EC-E261-4E27-B6BA-93F6DF4F92D4}" name="35-36" dataDxfId="16"/>
    <tableColumn id="26" xr3:uid="{CF623D8D-3C6F-463F-8CC8-BE622ADAC10D}" name="36-37" dataDxfId="15"/>
    <tableColumn id="27" xr3:uid="{E4129C87-F9EB-4EB8-9575-F9B327DFF50C}" name="37-38" dataDxfId="14"/>
    <tableColumn id="28" xr3:uid="{AFFBCE33-BF54-405F-9227-3D15ECD6D679}" name="38-39" dataDxfId="13"/>
    <tableColumn id="29" xr3:uid="{EF21D8C8-8017-4D5A-82EB-E678B47C2D65}" name="39-40" dataDxfId="12"/>
    <tableColumn id="30" xr3:uid="{916BD6FC-962C-4B66-832B-0C514D1B5D3B}" name="40-41" dataDxfId="11"/>
    <tableColumn id="31" xr3:uid="{1D75E093-D36B-4BCA-AFAB-09032D8791E4}" name="41-42" dataDxfId="10"/>
    <tableColumn id="32" xr3:uid="{41A7668D-1E91-4A84-ACFE-9629D0CEED6F}" name="42-43" dataDxfId="9"/>
    <tableColumn id="33" xr3:uid="{010187AD-EBDC-4ED5-853C-A172D33A550E}" name="43-44" dataDxfId="8"/>
    <tableColumn id="34" xr3:uid="{4EA1A5FB-F0D9-4B76-8953-0FA404918171}" name="44-45" dataDxfId="7"/>
    <tableColumn id="35" xr3:uid="{02DDA9D9-073E-4555-8F96-10160B35E667}" name="45-46" dataDxfId="6"/>
    <tableColumn id="36" xr3:uid="{79ABA628-95C6-4AD9-B238-1C157037A796}" name="46-47" dataDxfId="5"/>
    <tableColumn id="37" xr3:uid="{E9F5DC8F-57F4-4EC8-AE8C-A8CE5EF09476}" name="47-48" dataDxfId="4"/>
    <tableColumn id="40" xr3:uid="{FC90509C-33EF-4E65-96CA-CE8CFCBBC4FA}" name="2 YR Total" dataDxfId="3">
      <calculatedColumnFormula>Table_2021_CIP[[#This Row],[TotalYR1]]+S9</calculatedColumnFormula>
    </tableColumn>
    <tableColumn id="41" xr3:uid="{028A3105-E5CB-4D02-91FE-54E964FF9577}" name="10 YR Total" dataDxfId="2">
      <calculatedColumnFormula>SUM(Table_2021_CIP[[#This Row],[TotalYR1]:[32-33]])</calculatedColumnFormula>
    </tableColumn>
    <tableColumn id="42" xr3:uid="{A167FED6-71B6-4BA7-A62C-FFB69B5F9864}" name="25 YR Total" dataDxfId="1">
      <calculatedColumnFormula>SUM(Table_2021_CIP[[#This Row],[TotalYR1]:[47-48]])</calculatedColumnFormula>
    </tableColumn>
    <tableColumn id="43" xr3:uid="{E0A9197B-5DB5-4490-B34F-387234E90693}" name="Total" dataDxfId="0">
      <calculatedColumnFormula>SUM(Table_2021_CIP[[#This Row],[22-23]:[47-48]])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B523-1A96-41FB-ADE0-8BCACBF39502}">
  <dimension ref="A1:AU222"/>
  <sheetViews>
    <sheetView tabSelected="1" workbookViewId="0">
      <selection activeCell="O3" sqref="O3"/>
    </sheetView>
  </sheetViews>
  <sheetFormatPr defaultColWidth="6.140625" defaultRowHeight="15" x14ac:dyDescent="0.2"/>
  <cols>
    <col min="1" max="1" width="5.7109375" style="1" customWidth="1"/>
    <col min="2" max="2" width="7.140625" style="2" customWidth="1"/>
    <col min="3" max="7" width="8.7109375" style="2" customWidth="1"/>
    <col min="8" max="8" width="9" style="2" customWidth="1"/>
    <col min="9" max="9" width="8.7109375" style="2" customWidth="1"/>
    <col min="10" max="11" width="8.7109375" style="2" hidden="1" customWidth="1"/>
    <col min="12" max="12" width="4.7109375" style="2" customWidth="1"/>
    <col min="13" max="13" width="6.140625" style="2" customWidth="1"/>
    <col min="14" max="14" width="8.7109375" style="2" customWidth="1"/>
    <col min="15" max="15" width="8" style="2" customWidth="1"/>
    <col min="16" max="16" width="53.140625" style="2" customWidth="1"/>
    <col min="17" max="17" width="8.140625" style="3" customWidth="1"/>
    <col min="18" max="18" width="7" style="3" customWidth="1"/>
    <col min="19" max="19" width="6.5703125" style="3" customWidth="1"/>
    <col min="20" max="42" width="6.7109375" style="3" customWidth="1"/>
    <col min="43" max="43" width="8.140625" style="3" customWidth="1"/>
    <col min="44" max="44" width="8.5703125" style="3" customWidth="1"/>
    <col min="45" max="45" width="9.85546875" style="3" customWidth="1"/>
    <col min="46" max="46" width="4.85546875" style="3" hidden="1" customWidth="1"/>
    <col min="47" max="47" width="13.7109375" style="3" bestFit="1" customWidth="1"/>
    <col min="48" max="16384" width="6.140625" style="3"/>
  </cols>
  <sheetData>
    <row r="1" spans="1:46" x14ac:dyDescent="0.2">
      <c r="T1" s="4"/>
      <c r="U1" s="4"/>
      <c r="V1" s="5" t="s">
        <v>0</v>
      </c>
      <c r="W1" s="4"/>
      <c r="X1" s="4"/>
    </row>
    <row r="2" spans="1:46" x14ac:dyDescent="0.2">
      <c r="T2" s="4"/>
      <c r="U2" s="4"/>
      <c r="V2" s="5" t="s">
        <v>1</v>
      </c>
      <c r="W2" s="4"/>
      <c r="X2" s="4"/>
    </row>
    <row r="3" spans="1:46" x14ac:dyDescent="0.2">
      <c r="Q3" s="2"/>
      <c r="S3" s="6"/>
      <c r="T3" s="4"/>
      <c r="U3" s="4"/>
      <c r="V3" s="5" t="s">
        <v>2</v>
      </c>
      <c r="W3" s="4"/>
      <c r="X3" s="4"/>
    </row>
    <row r="4" spans="1:46" x14ac:dyDescent="0.2">
      <c r="I4" s="54" t="s">
        <v>634</v>
      </c>
      <c r="J4" s="55"/>
      <c r="K4" s="55"/>
      <c r="L4" s="55"/>
      <c r="M4" s="56">
        <f>SUMPRODUCT(Table_2021_CIP[FIF],Table_2021_CIP[25 YR Total])</f>
        <v>419670411.8646735</v>
      </c>
      <c r="N4" s="56"/>
      <c r="O4" s="57"/>
      <c r="Q4" s="2"/>
      <c r="V4" s="5" t="s">
        <v>3</v>
      </c>
    </row>
    <row r="5" spans="1:46" ht="16.5" customHeight="1" x14ac:dyDescent="0.2">
      <c r="H5" s="63" t="s">
        <v>633</v>
      </c>
      <c r="I5" s="63"/>
      <c r="J5" s="63"/>
      <c r="K5" s="63"/>
      <c r="L5" s="63"/>
      <c r="M5" s="63"/>
      <c r="N5" s="63"/>
      <c r="O5" s="63"/>
      <c r="Q5" s="2"/>
    </row>
    <row r="6" spans="1:46" x14ac:dyDescent="0.2">
      <c r="A6" s="62" t="s">
        <v>4</v>
      </c>
      <c r="B6" s="62" t="s">
        <v>5</v>
      </c>
      <c r="C6" s="61" t="s">
        <v>6</v>
      </c>
      <c r="D6" s="65" t="s">
        <v>7</v>
      </c>
      <c r="E6" s="65" t="s">
        <v>8</v>
      </c>
      <c r="F6" s="65" t="s">
        <v>9</v>
      </c>
      <c r="G6" s="61" t="s">
        <v>10</v>
      </c>
      <c r="H6" s="67" t="s">
        <v>11</v>
      </c>
      <c r="I6" s="65" t="s">
        <v>12</v>
      </c>
      <c r="J6" s="7"/>
      <c r="K6" s="7"/>
      <c r="L6" s="59" t="s">
        <v>13</v>
      </c>
      <c r="M6" s="59" t="s">
        <v>14</v>
      </c>
      <c r="N6" s="59"/>
      <c r="O6" s="59" t="s">
        <v>15</v>
      </c>
      <c r="P6" s="61" t="s">
        <v>16</v>
      </c>
      <c r="Q6" s="8" t="s">
        <v>17</v>
      </c>
      <c r="R6" s="9" t="s">
        <v>18</v>
      </c>
      <c r="S6" s="9" t="s">
        <v>19</v>
      </c>
      <c r="T6" s="58" t="s">
        <v>20</v>
      </c>
      <c r="U6" s="58" t="s">
        <v>21</v>
      </c>
      <c r="V6" s="58" t="s">
        <v>22</v>
      </c>
      <c r="W6" s="58" t="s">
        <v>23</v>
      </c>
      <c r="X6" s="58" t="s">
        <v>24</v>
      </c>
      <c r="Y6" s="58" t="s">
        <v>25</v>
      </c>
      <c r="Z6" s="58" t="s">
        <v>26</v>
      </c>
      <c r="AA6" s="58" t="s">
        <v>27</v>
      </c>
      <c r="AB6" s="58" t="s">
        <v>28</v>
      </c>
      <c r="AC6" s="58" t="s">
        <v>29</v>
      </c>
      <c r="AD6" s="58" t="s">
        <v>30</v>
      </c>
      <c r="AE6" s="58" t="s">
        <v>31</v>
      </c>
      <c r="AF6" s="58" t="s">
        <v>32</v>
      </c>
      <c r="AG6" s="58" t="s">
        <v>33</v>
      </c>
      <c r="AH6" s="58" t="s">
        <v>34</v>
      </c>
      <c r="AI6" s="58" t="s">
        <v>35</v>
      </c>
      <c r="AJ6" s="58" t="s">
        <v>36</v>
      </c>
      <c r="AK6" s="58" t="s">
        <v>37</v>
      </c>
      <c r="AL6" s="58" t="s">
        <v>38</v>
      </c>
      <c r="AM6" s="58" t="s">
        <v>39</v>
      </c>
      <c r="AN6" s="58" t="s">
        <v>40</v>
      </c>
      <c r="AO6" s="58" t="s">
        <v>41</v>
      </c>
      <c r="AP6" s="58" t="s">
        <v>42</v>
      </c>
      <c r="AQ6" s="52" t="s">
        <v>43</v>
      </c>
      <c r="AR6" s="52" t="s">
        <v>44</v>
      </c>
      <c r="AS6" s="52" t="s">
        <v>45</v>
      </c>
      <c r="AT6" s="11" t="s">
        <v>46</v>
      </c>
    </row>
    <row r="7" spans="1:46" s="2" customFormat="1" x14ac:dyDescent="0.25">
      <c r="A7" s="64"/>
      <c r="B7" s="64"/>
      <c r="C7" s="62"/>
      <c r="D7" s="66"/>
      <c r="E7" s="66"/>
      <c r="F7" s="66"/>
      <c r="G7" s="62"/>
      <c r="H7" s="68"/>
      <c r="I7" s="66"/>
      <c r="J7" s="12" t="s">
        <v>47</v>
      </c>
      <c r="K7" s="12" t="s">
        <v>48</v>
      </c>
      <c r="L7" s="60"/>
      <c r="M7" s="60"/>
      <c r="N7" s="60" t="s">
        <v>49</v>
      </c>
      <c r="O7" s="60" t="s">
        <v>15</v>
      </c>
      <c r="P7" s="62"/>
      <c r="Q7" s="10" t="s">
        <v>50</v>
      </c>
      <c r="R7" s="10" t="s">
        <v>51</v>
      </c>
      <c r="S7" s="10" t="s">
        <v>52</v>
      </c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13"/>
    </row>
    <row r="8" spans="1:46" ht="12.75" x14ac:dyDescent="0.2">
      <c r="A8" s="14" t="s">
        <v>4</v>
      </c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10</v>
      </c>
      <c r="H8" s="2" t="s">
        <v>58</v>
      </c>
      <c r="I8" s="2" t="s">
        <v>59</v>
      </c>
      <c r="J8" s="2" t="s">
        <v>47</v>
      </c>
      <c r="K8" s="2" t="s">
        <v>60</v>
      </c>
      <c r="L8" s="2" t="s">
        <v>61</v>
      </c>
      <c r="M8" s="2" t="s">
        <v>14</v>
      </c>
      <c r="N8" s="2" t="s">
        <v>62</v>
      </c>
      <c r="O8" s="2" t="s">
        <v>63</v>
      </c>
      <c r="P8" s="3" t="s">
        <v>16</v>
      </c>
      <c r="Q8" s="15" t="s">
        <v>50</v>
      </c>
      <c r="R8" s="2" t="s">
        <v>64</v>
      </c>
      <c r="S8" s="2" t="s">
        <v>65</v>
      </c>
      <c r="T8" s="2" t="s">
        <v>20</v>
      </c>
      <c r="U8" s="2" t="s">
        <v>21</v>
      </c>
      <c r="V8" s="2" t="s">
        <v>22</v>
      </c>
      <c r="W8" s="2" t="s">
        <v>23</v>
      </c>
      <c r="X8" s="2" t="s">
        <v>24</v>
      </c>
      <c r="Y8" s="2" t="s">
        <v>25</v>
      </c>
      <c r="Z8" s="2" t="s">
        <v>26</v>
      </c>
      <c r="AA8" s="2" t="s">
        <v>27</v>
      </c>
      <c r="AB8" s="2" t="s">
        <v>28</v>
      </c>
      <c r="AC8" s="2" t="s">
        <v>29</v>
      </c>
      <c r="AD8" s="2" t="s">
        <v>30</v>
      </c>
      <c r="AE8" s="2" t="s">
        <v>31</v>
      </c>
      <c r="AF8" s="2" t="s">
        <v>32</v>
      </c>
      <c r="AG8" s="2" t="s">
        <v>33</v>
      </c>
      <c r="AH8" s="2" t="s">
        <v>34</v>
      </c>
      <c r="AI8" s="2" t="s">
        <v>35</v>
      </c>
      <c r="AJ8" s="2" t="s">
        <v>36</v>
      </c>
      <c r="AK8" s="2" t="s">
        <v>37</v>
      </c>
      <c r="AL8" s="2" t="s">
        <v>38</v>
      </c>
      <c r="AM8" s="2" t="s">
        <v>39</v>
      </c>
      <c r="AN8" s="2" t="s">
        <v>40</v>
      </c>
      <c r="AO8" s="2" t="s">
        <v>41</v>
      </c>
      <c r="AP8" s="2" t="s">
        <v>42</v>
      </c>
      <c r="AQ8" s="16" t="s">
        <v>66</v>
      </c>
      <c r="AR8" s="16" t="s">
        <v>67</v>
      </c>
      <c r="AS8" s="16" t="s">
        <v>68</v>
      </c>
      <c r="AT8" s="3" t="s">
        <v>69</v>
      </c>
    </row>
    <row r="9" spans="1:46" ht="12.75" customHeight="1" x14ac:dyDescent="0.25">
      <c r="A9" s="17">
        <v>1</v>
      </c>
      <c r="B9" s="18" t="s">
        <v>70</v>
      </c>
      <c r="C9" s="18" t="b">
        <v>1</v>
      </c>
      <c r="D9" s="18">
        <v>720</v>
      </c>
      <c r="E9" s="18">
        <v>720</v>
      </c>
      <c r="F9" s="18" t="b">
        <v>0</v>
      </c>
      <c r="G9" s="18" t="s">
        <v>71</v>
      </c>
      <c r="H9" s="18" t="s">
        <v>72</v>
      </c>
      <c r="I9" s="19">
        <v>10008</v>
      </c>
      <c r="J9" s="18"/>
      <c r="K9" s="18" t="s">
        <v>73</v>
      </c>
      <c r="L9" s="18" t="s">
        <v>74</v>
      </c>
      <c r="M9" s="20">
        <v>0.22600000000000001</v>
      </c>
      <c r="N9" s="21">
        <v>23</v>
      </c>
      <c r="O9" s="22" t="str">
        <f>IF(Table_2021_CIP[[#This Row],[Column2]]&lt;10,"A",IF(Table_2021_CIP[[#This Row],[Column2]]&gt;19,"C","B"))</f>
        <v>C</v>
      </c>
      <c r="P9" s="18" t="s">
        <v>75</v>
      </c>
      <c r="Q9" s="23">
        <v>150000</v>
      </c>
      <c r="R9" s="23">
        <v>300000</v>
      </c>
      <c r="S9" s="23">
        <v>300000</v>
      </c>
      <c r="T9" s="23">
        <v>300000</v>
      </c>
      <c r="U9" s="23">
        <v>200000</v>
      </c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>
        <f>Table_2021_CIP[[#This Row],[TotalYR1]]+S9</f>
        <v>600000</v>
      </c>
      <c r="AR9" s="23">
        <f>SUM(Table_2021_CIP[[#This Row],[TotalYR1]:[32-33]])</f>
        <v>1100000</v>
      </c>
      <c r="AS9" s="23">
        <f>SUM(Table_2021_CIP[[#This Row],[TotalYR1]:[47-48]])</f>
        <v>1100000</v>
      </c>
      <c r="AT9" s="24">
        <f>SUM(Table_2021_CIP[[#This Row],[22-23]:[47-48]])</f>
        <v>1250000</v>
      </c>
    </row>
    <row r="10" spans="1:46" ht="12.75" customHeight="1" x14ac:dyDescent="0.25">
      <c r="A10" s="17">
        <f>A9+1</f>
        <v>2</v>
      </c>
      <c r="B10" s="18" t="s">
        <v>70</v>
      </c>
      <c r="C10" s="18" t="b">
        <v>1</v>
      </c>
      <c r="D10" s="18">
        <v>720</v>
      </c>
      <c r="E10" s="18">
        <v>720</v>
      </c>
      <c r="F10" s="18" t="b">
        <v>0</v>
      </c>
      <c r="G10" s="18" t="s">
        <v>71</v>
      </c>
      <c r="H10" s="18" t="s">
        <v>76</v>
      </c>
      <c r="I10" s="19">
        <v>10052</v>
      </c>
      <c r="J10" s="18"/>
      <c r="K10" s="18" t="s">
        <v>77</v>
      </c>
      <c r="L10" s="18" t="s">
        <v>74</v>
      </c>
      <c r="M10" s="20">
        <v>0.22600000000000001</v>
      </c>
      <c r="N10" s="21">
        <v>23</v>
      </c>
      <c r="O10" s="22" t="str">
        <f>IF(Table_2021_CIP[[#This Row],[Column2]]&lt;10,"A",IF(Table_2021_CIP[[#This Row],[Column2]]&gt;19,"C","B"))</f>
        <v>C</v>
      </c>
      <c r="P10" s="18" t="s">
        <v>78</v>
      </c>
      <c r="Q10" s="23"/>
      <c r="R10" s="23">
        <v>0</v>
      </c>
      <c r="S10" s="23">
        <v>0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4"/>
    </row>
    <row r="11" spans="1:46" ht="12.75" customHeight="1" x14ac:dyDescent="0.25">
      <c r="A11" s="17">
        <f>A10+1</f>
        <v>3</v>
      </c>
      <c r="B11" s="18" t="s">
        <v>70</v>
      </c>
      <c r="C11" s="18" t="b">
        <v>1</v>
      </c>
      <c r="D11" s="18">
        <v>720</v>
      </c>
      <c r="E11" s="18">
        <v>720</v>
      </c>
      <c r="F11" s="18" t="b">
        <v>0</v>
      </c>
      <c r="G11" s="18" t="s">
        <v>71</v>
      </c>
      <c r="H11" s="18" t="s">
        <v>79</v>
      </c>
      <c r="I11" s="19">
        <v>10056</v>
      </c>
      <c r="J11" s="18"/>
      <c r="K11" s="18" t="s">
        <v>77</v>
      </c>
      <c r="L11" s="18" t="s">
        <v>74</v>
      </c>
      <c r="M11" s="20">
        <v>0.22600000000000001</v>
      </c>
      <c r="N11" s="21">
        <v>23</v>
      </c>
      <c r="O11" s="22" t="str">
        <f>IF(Table_2021_CIP[[#This Row],[Column2]]&lt;10,"A",IF(Table_2021_CIP[[#This Row],[Column2]]&gt;19,"C","B"))</f>
        <v>C</v>
      </c>
      <c r="P11" s="18" t="s">
        <v>80</v>
      </c>
      <c r="Q11" s="23">
        <v>1548187</v>
      </c>
      <c r="R11" s="23">
        <v>1239000</v>
      </c>
      <c r="S11" s="23">
        <v>636540</v>
      </c>
      <c r="T11" s="23">
        <v>655636</v>
      </c>
      <c r="U11" s="23">
        <v>675305</v>
      </c>
      <c r="V11" s="23">
        <v>695564</v>
      </c>
      <c r="W11" s="23">
        <v>716431</v>
      </c>
      <c r="X11" s="23">
        <v>737924</v>
      </c>
      <c r="Y11" s="23">
        <v>5095365</v>
      </c>
      <c r="Z11" s="23">
        <v>5248226</v>
      </c>
      <c r="AA11" s="23">
        <v>5405673</v>
      </c>
      <c r="AB11" s="23">
        <v>5567843</v>
      </c>
      <c r="AC11" s="23">
        <v>5734878</v>
      </c>
      <c r="AD11" s="23">
        <v>5906925</v>
      </c>
      <c r="AE11" s="23">
        <v>6084132</v>
      </c>
      <c r="AF11" s="23">
        <v>6266656</v>
      </c>
      <c r="AG11" s="23">
        <v>6454656</v>
      </c>
      <c r="AH11" s="23">
        <v>6648296</v>
      </c>
      <c r="AI11" s="23">
        <v>6847745</v>
      </c>
      <c r="AJ11" s="23">
        <v>7053177</v>
      </c>
      <c r="AK11" s="23">
        <v>7264772</v>
      </c>
      <c r="AL11" s="23">
        <v>7482716</v>
      </c>
      <c r="AM11" s="23">
        <v>7707197</v>
      </c>
      <c r="AN11" s="23">
        <v>7938413</v>
      </c>
      <c r="AO11" s="23">
        <v>8176565</v>
      </c>
      <c r="AP11" s="23">
        <v>8421862</v>
      </c>
      <c r="AQ11" s="23">
        <f>Table_2021_CIP[[#This Row],[TotalYR1]]+S11</f>
        <v>1875540</v>
      </c>
      <c r="AR11" s="23">
        <f>SUM(Table_2021_CIP[[#This Row],[TotalYR1]:[32-33]])</f>
        <v>21105664</v>
      </c>
      <c r="AS11" s="23">
        <f>SUM(Table_2021_CIP[[#This Row],[TotalYR1]:[47-48]])</f>
        <v>124661497</v>
      </c>
      <c r="AT11" s="24">
        <f>SUM(Table_2021_CIP[[#This Row],[22-23]:[47-48]])</f>
        <v>126209684</v>
      </c>
    </row>
    <row r="12" spans="1:46" ht="12.75" customHeight="1" x14ac:dyDescent="0.25">
      <c r="A12" s="25">
        <f t="shared" ref="A12:A75" si="0">A11+1</f>
        <v>4</v>
      </c>
      <c r="B12" t="s">
        <v>81</v>
      </c>
      <c r="C12" t="b">
        <v>0</v>
      </c>
      <c r="D12">
        <v>130</v>
      </c>
      <c r="E12">
        <v>130</v>
      </c>
      <c r="F12" t="b">
        <v>0</v>
      </c>
      <c r="G12" t="s">
        <v>82</v>
      </c>
      <c r="H12" t="s">
        <v>83</v>
      </c>
      <c r="I12" s="26">
        <v>10062</v>
      </c>
      <c r="J12" t="s">
        <v>84</v>
      </c>
      <c r="K12" t="s">
        <v>73</v>
      </c>
      <c r="L12" t="s">
        <v>85</v>
      </c>
      <c r="M12" s="27">
        <v>0.10000000149011599</v>
      </c>
      <c r="N12" s="28">
        <v>27</v>
      </c>
      <c r="O12" s="29" t="str">
        <f>IF(Table_2021_CIP[[#This Row],[Column2]]&lt;10,"A",IF(Table_2021_CIP[[#This Row],[Column2]]&gt;19,"C","B"))</f>
        <v>C</v>
      </c>
      <c r="P12" t="s">
        <v>86</v>
      </c>
      <c r="Q12" s="30">
        <f>9653257.93-1100000</f>
        <v>8553257.9299999997</v>
      </c>
      <c r="R12" s="30">
        <f>(18654837.594/2)-3000000</f>
        <v>6327418.7970000003</v>
      </c>
      <c r="S12" s="30">
        <f>9327418.8</f>
        <v>9327418.8000000007</v>
      </c>
      <c r="T12" s="30">
        <f>4682880.6298+5000000</f>
        <v>9682880.6297999993</v>
      </c>
      <c r="U12" s="30">
        <v>1100000</v>
      </c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>
        <v>18000000</v>
      </c>
      <c r="AN12" s="30">
        <v>18000000</v>
      </c>
      <c r="AO12" s="30"/>
      <c r="AP12" s="30"/>
      <c r="AQ12" s="30">
        <f>Table_2021_CIP[[#This Row],[TotalYR1]]+S12</f>
        <v>15654837.597000001</v>
      </c>
      <c r="AR12" s="30">
        <f>SUM(Table_2021_CIP[[#This Row],[TotalYR1]:[32-33]])</f>
        <v>26437718.226800002</v>
      </c>
      <c r="AS12" s="30">
        <f>SUM(Table_2021_CIP[[#This Row],[TotalYR1]:[47-48]])</f>
        <v>62437718.226800002</v>
      </c>
      <c r="AT12" s="24">
        <f>SUM(Table_2021_CIP[[#This Row],[22-23]:[47-48]])</f>
        <v>70990976.156800002</v>
      </c>
    </row>
    <row r="13" spans="1:46" ht="12.75" customHeight="1" x14ac:dyDescent="0.25">
      <c r="A13" s="17">
        <f t="shared" si="0"/>
        <v>5</v>
      </c>
      <c r="B13" s="18" t="s">
        <v>70</v>
      </c>
      <c r="C13" s="18" t="b">
        <v>1</v>
      </c>
      <c r="D13" s="18">
        <v>720</v>
      </c>
      <c r="E13" s="18">
        <v>720</v>
      </c>
      <c r="F13" s="18" t="b">
        <v>0</v>
      </c>
      <c r="G13" s="18" t="s">
        <v>71</v>
      </c>
      <c r="H13" s="18" t="s">
        <v>87</v>
      </c>
      <c r="I13" s="19">
        <v>10077</v>
      </c>
      <c r="J13" s="18"/>
      <c r="K13" s="18" t="s">
        <v>77</v>
      </c>
      <c r="L13" s="18" t="s">
        <v>74</v>
      </c>
      <c r="M13" s="20">
        <v>0.22600000000000001</v>
      </c>
      <c r="N13" s="21">
        <v>8</v>
      </c>
      <c r="O13" s="22" t="str">
        <f>IF(Table_2021_CIP[[#This Row],[Column2]]&lt;10,"A",IF(Table_2021_CIP[[#This Row],[Column2]]&gt;19,"C","B"))</f>
        <v>A</v>
      </c>
      <c r="P13" s="18" t="s">
        <v>88</v>
      </c>
      <c r="Q13" s="23">
        <v>236000</v>
      </c>
      <c r="R13" s="23">
        <v>20000</v>
      </c>
      <c r="S13" s="23">
        <v>0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>
        <f>Table_2021_CIP[[#This Row],[TotalYR1]]+S13</f>
        <v>20000</v>
      </c>
      <c r="AR13" s="23">
        <f>SUM(Table_2021_CIP[[#This Row],[TotalYR1]:[32-33]])</f>
        <v>20000</v>
      </c>
      <c r="AS13" s="23">
        <f>SUM(Table_2021_CIP[[#This Row],[TotalYR1]:[47-48]])</f>
        <v>20000</v>
      </c>
      <c r="AT13" s="24">
        <f>SUM(Table_2021_CIP[[#This Row],[22-23]:[47-48]])</f>
        <v>256000</v>
      </c>
    </row>
    <row r="14" spans="1:46" ht="12.75" customHeight="1" x14ac:dyDescent="0.25">
      <c r="A14" s="25">
        <f t="shared" si="0"/>
        <v>6</v>
      </c>
      <c r="B14" t="s">
        <v>81</v>
      </c>
      <c r="C14" t="b">
        <v>0</v>
      </c>
      <c r="D14">
        <v>120</v>
      </c>
      <c r="E14">
        <v>130</v>
      </c>
      <c r="F14" t="b">
        <v>0</v>
      </c>
      <c r="G14" t="s">
        <v>89</v>
      </c>
      <c r="H14" t="s">
        <v>90</v>
      </c>
      <c r="I14" s="26">
        <v>10093</v>
      </c>
      <c r="J14"/>
      <c r="K14" t="s">
        <v>73</v>
      </c>
      <c r="L14" t="s">
        <v>85</v>
      </c>
      <c r="M14" s="27">
        <v>0.22600000000000001</v>
      </c>
      <c r="N14" s="28">
        <v>17</v>
      </c>
      <c r="O14" s="29" t="str">
        <f>IF(Table_2021_CIP[[#This Row],[Column2]]&lt;10,"A",IF(Table_2021_CIP[[#This Row],[Column2]]&gt;19,"C","B"))</f>
        <v>B</v>
      </c>
      <c r="P14" t="s">
        <v>91</v>
      </c>
      <c r="Q14" s="30">
        <v>339439.86</v>
      </c>
      <c r="R14" s="30">
        <v>187897.5601</v>
      </c>
      <c r="S14" s="30">
        <v>101700.2862</v>
      </c>
      <c r="T14" s="30">
        <v>106917.16</v>
      </c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>
        <f>Table_2021_CIP[[#This Row],[TotalYR1]]+S14</f>
        <v>289597.84629999998</v>
      </c>
      <c r="AR14" s="30">
        <f>SUM(Table_2021_CIP[[#This Row],[TotalYR1]:[32-33]])</f>
        <v>396515.00630000001</v>
      </c>
      <c r="AS14" s="30">
        <f>SUM(Table_2021_CIP[[#This Row],[TotalYR1]:[47-48]])</f>
        <v>396515.00630000001</v>
      </c>
      <c r="AT14" s="24">
        <f>SUM(Table_2021_CIP[[#This Row],[22-23]:[47-48]])</f>
        <v>735954.86629999999</v>
      </c>
    </row>
    <row r="15" spans="1:46" ht="12.75" customHeight="1" x14ac:dyDescent="0.25">
      <c r="A15" s="25">
        <f t="shared" si="0"/>
        <v>7</v>
      </c>
      <c r="B15" t="s">
        <v>92</v>
      </c>
      <c r="C15" t="b">
        <v>0</v>
      </c>
      <c r="D15">
        <v>750</v>
      </c>
      <c r="E15">
        <v>750</v>
      </c>
      <c r="F15" t="b">
        <v>0</v>
      </c>
      <c r="G15" t="s">
        <v>93</v>
      </c>
      <c r="H15" t="s">
        <v>94</v>
      </c>
      <c r="I15" s="26">
        <v>10097</v>
      </c>
      <c r="J15"/>
      <c r="K15" t="s">
        <v>77</v>
      </c>
      <c r="L15" t="s">
        <v>85</v>
      </c>
      <c r="M15" s="27">
        <v>0.22600000000000001</v>
      </c>
      <c r="N15" s="28">
        <v>22</v>
      </c>
      <c r="O15" s="29" t="str">
        <f>IF(Table_2021_CIP[[#This Row],[Column2]]&lt;10,"A",IF(Table_2021_CIP[[#This Row],[Column2]]&gt;19,"C","B"))</f>
        <v>C</v>
      </c>
      <c r="P15" t="s">
        <v>95</v>
      </c>
      <c r="Q15" s="30">
        <v>225000</v>
      </c>
      <c r="R15" s="30">
        <v>0</v>
      </c>
      <c r="S15" s="30">
        <v>0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>
        <f>Table_2021_CIP[[#This Row],[TotalYR1]]+S15</f>
        <v>0</v>
      </c>
      <c r="AR15" s="30">
        <f>SUM(Table_2021_CIP[[#This Row],[TotalYR1]:[32-33]])</f>
        <v>0</v>
      </c>
      <c r="AS15" s="30">
        <f>SUM(Table_2021_CIP[[#This Row],[TotalYR1]:[47-48]])</f>
        <v>0</v>
      </c>
      <c r="AT15" s="24">
        <f>SUM(Table_2021_CIP[[#This Row],[22-23]:[47-48]])</f>
        <v>225000</v>
      </c>
    </row>
    <row r="16" spans="1:46" ht="12.75" customHeight="1" x14ac:dyDescent="0.25">
      <c r="A16" s="25">
        <f t="shared" si="0"/>
        <v>8</v>
      </c>
      <c r="B16" t="s">
        <v>92</v>
      </c>
      <c r="C16" t="b">
        <v>0</v>
      </c>
      <c r="D16">
        <v>750</v>
      </c>
      <c r="E16">
        <v>750</v>
      </c>
      <c r="F16" t="b">
        <v>0</v>
      </c>
      <c r="G16" t="s">
        <v>93</v>
      </c>
      <c r="H16" t="s">
        <v>96</v>
      </c>
      <c r="I16" s="26">
        <v>10099</v>
      </c>
      <c r="J16"/>
      <c r="K16" t="s">
        <v>73</v>
      </c>
      <c r="L16" t="s">
        <v>85</v>
      </c>
      <c r="M16" s="27">
        <v>0.22600000000000001</v>
      </c>
      <c r="N16" s="28">
        <v>22</v>
      </c>
      <c r="O16" s="29" t="str">
        <f>IF(Table_2021_CIP[[#This Row],[Column2]]&lt;10,"A",IF(Table_2021_CIP[[#This Row],[Column2]]&gt;19,"C","B"))</f>
        <v>C</v>
      </c>
      <c r="P16" t="s">
        <v>97</v>
      </c>
      <c r="Q16" s="30">
        <v>0</v>
      </c>
      <c r="R16" s="30">
        <v>6640</v>
      </c>
      <c r="S16" s="30">
        <v>6640</v>
      </c>
      <c r="T16" s="30"/>
      <c r="U16" s="30"/>
      <c r="V16" s="30"/>
      <c r="W16" s="30">
        <v>20000</v>
      </c>
      <c r="X16" s="30">
        <v>300000</v>
      </c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>
        <f>Table_2021_CIP[[#This Row],[TotalYR1]]+S16</f>
        <v>13280</v>
      </c>
      <c r="AR16" s="30">
        <f>SUM(Table_2021_CIP[[#This Row],[TotalYR1]:[32-33]])</f>
        <v>333280</v>
      </c>
      <c r="AS16" s="30">
        <f>SUM(Table_2021_CIP[[#This Row],[TotalYR1]:[47-48]])</f>
        <v>333280</v>
      </c>
      <c r="AT16" s="24">
        <f>SUM(Table_2021_CIP[[#This Row],[22-23]:[47-48]])</f>
        <v>333280</v>
      </c>
    </row>
    <row r="17" spans="1:46" ht="12.75" customHeight="1" x14ac:dyDescent="0.25">
      <c r="A17" s="17">
        <f t="shared" si="0"/>
        <v>9</v>
      </c>
      <c r="B17" s="18" t="s">
        <v>92</v>
      </c>
      <c r="C17" s="18" t="b">
        <v>1</v>
      </c>
      <c r="D17" s="18">
        <v>750</v>
      </c>
      <c r="E17" s="18">
        <v>750</v>
      </c>
      <c r="F17" s="18" t="b">
        <v>0</v>
      </c>
      <c r="G17" s="18" t="s">
        <v>93</v>
      </c>
      <c r="H17" s="18" t="s">
        <v>98</v>
      </c>
      <c r="I17" s="19">
        <v>10100</v>
      </c>
      <c r="J17" s="18"/>
      <c r="K17" s="18" t="s">
        <v>77</v>
      </c>
      <c r="L17" s="18" t="s">
        <v>74</v>
      </c>
      <c r="M17" s="20">
        <v>0.5</v>
      </c>
      <c r="N17" s="21">
        <v>11</v>
      </c>
      <c r="O17" s="22" t="str">
        <f>IF(Table_2021_CIP[[#This Row],[Column2]]&lt;10,"A",IF(Table_2021_CIP[[#This Row],[Column2]]&gt;19,"C","B"))</f>
        <v>B</v>
      </c>
      <c r="P17" s="18" t="s">
        <v>99</v>
      </c>
      <c r="Q17" s="23">
        <v>30000</v>
      </c>
      <c r="R17" s="23">
        <v>194280</v>
      </c>
      <c r="S17" s="23">
        <f>2170912-1900000</f>
        <v>270912</v>
      </c>
      <c r="T17" s="23">
        <v>1900000</v>
      </c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>
        <f>Table_2021_CIP[[#This Row],[TotalYR1]]+S17</f>
        <v>465192</v>
      </c>
      <c r="AR17" s="23">
        <f>SUM(Table_2021_CIP[[#This Row],[TotalYR1]:[32-33]])</f>
        <v>2365192</v>
      </c>
      <c r="AS17" s="23">
        <f>SUM(Table_2021_CIP[[#This Row],[TotalYR1]:[47-48]])</f>
        <v>2365192</v>
      </c>
      <c r="AT17" s="24">
        <f>SUM(Table_2021_CIP[[#This Row],[22-23]:[47-48]])</f>
        <v>2395192</v>
      </c>
    </row>
    <row r="18" spans="1:46" ht="12.75" customHeight="1" x14ac:dyDescent="0.25">
      <c r="A18" s="25">
        <f t="shared" si="0"/>
        <v>10</v>
      </c>
      <c r="B18" t="s">
        <v>100</v>
      </c>
      <c r="C18" t="b">
        <v>0</v>
      </c>
      <c r="D18">
        <v>140</v>
      </c>
      <c r="E18">
        <v>140</v>
      </c>
      <c r="F18" t="b">
        <v>0</v>
      </c>
      <c r="G18" t="s">
        <v>101</v>
      </c>
      <c r="H18" t="s">
        <v>102</v>
      </c>
      <c r="I18" s="26">
        <v>10102</v>
      </c>
      <c r="J18"/>
      <c r="K18" t="s">
        <v>103</v>
      </c>
      <c r="L18" t="s">
        <v>85</v>
      </c>
      <c r="M18" s="27">
        <v>0</v>
      </c>
      <c r="N18" s="28">
        <v>10</v>
      </c>
      <c r="O18" s="29" t="str">
        <f>IF(Table_2021_CIP[[#This Row],[Column2]]&lt;10,"A",IF(Table_2021_CIP[[#This Row],[Column2]]&gt;19,"C","B"))</f>
        <v>B</v>
      </c>
      <c r="P18" t="s">
        <v>104</v>
      </c>
      <c r="Q18" s="30">
        <v>0</v>
      </c>
      <c r="R18" s="30">
        <v>0</v>
      </c>
      <c r="S18" s="30">
        <v>300000</v>
      </c>
      <c r="T18" s="30">
        <v>1500000</v>
      </c>
      <c r="U18" s="30">
        <v>1500000</v>
      </c>
      <c r="V18" s="30"/>
      <c r="W18" s="30"/>
      <c r="X18" s="30"/>
      <c r="Y18" s="30">
        <v>300000</v>
      </c>
      <c r="Z18" s="30"/>
      <c r="AA18" s="30"/>
      <c r="AB18" s="30"/>
      <c r="AC18" s="30"/>
      <c r="AD18" s="30">
        <v>350000</v>
      </c>
      <c r="AE18" s="30"/>
      <c r="AF18" s="30"/>
      <c r="AG18" s="30"/>
      <c r="AH18" s="30"/>
      <c r="AI18" s="30">
        <v>400000</v>
      </c>
      <c r="AJ18" s="30"/>
      <c r="AK18" s="30"/>
      <c r="AL18" s="30"/>
      <c r="AM18" s="30"/>
      <c r="AN18" s="30">
        <v>500000</v>
      </c>
      <c r="AO18" s="30"/>
      <c r="AP18" s="30"/>
      <c r="AQ18" s="30">
        <f>Table_2021_CIP[[#This Row],[TotalYR1]]+S18</f>
        <v>300000</v>
      </c>
      <c r="AR18" s="30">
        <f>SUM(Table_2021_CIP[[#This Row],[TotalYR1]:[32-33]])</f>
        <v>3600000</v>
      </c>
      <c r="AS18" s="30">
        <f>SUM(Table_2021_CIP[[#This Row],[TotalYR1]:[47-48]])</f>
        <v>4850000</v>
      </c>
      <c r="AT18" s="24">
        <f>SUM(Table_2021_CIP[[#This Row],[22-23]:[47-48]])</f>
        <v>4850000</v>
      </c>
    </row>
    <row r="19" spans="1:46" ht="12.75" customHeight="1" x14ac:dyDescent="0.25">
      <c r="A19" s="17">
        <f t="shared" si="0"/>
        <v>11</v>
      </c>
      <c r="B19" s="18" t="s">
        <v>92</v>
      </c>
      <c r="C19" s="18" t="b">
        <v>1</v>
      </c>
      <c r="D19" s="18">
        <v>750</v>
      </c>
      <c r="E19" s="18">
        <v>750</v>
      </c>
      <c r="F19" s="18" t="b">
        <v>0</v>
      </c>
      <c r="G19" s="18" t="s">
        <v>93</v>
      </c>
      <c r="H19" s="18" t="s">
        <v>105</v>
      </c>
      <c r="I19" s="19">
        <v>10117</v>
      </c>
      <c r="J19" s="18"/>
      <c r="K19" s="18" t="s">
        <v>73</v>
      </c>
      <c r="L19" s="18" t="s">
        <v>74</v>
      </c>
      <c r="M19" s="20">
        <v>0</v>
      </c>
      <c r="N19" s="21">
        <v>4</v>
      </c>
      <c r="O19" s="22" t="str">
        <f>IF(Table_2021_CIP[[#This Row],[Column2]]&lt;10,"A",IF(Table_2021_CIP[[#This Row],[Column2]]&gt;19,"C","B"))</f>
        <v>A</v>
      </c>
      <c r="P19" s="18" t="s">
        <v>106</v>
      </c>
      <c r="Q19" s="23">
        <v>100000</v>
      </c>
      <c r="R19" s="23">
        <v>129216</v>
      </c>
      <c r="S19" s="23">
        <v>129216</v>
      </c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>
        <f>Table_2021_CIP[[#This Row],[TotalYR1]]+S19</f>
        <v>258432</v>
      </c>
      <c r="AR19" s="23">
        <f>SUM(Table_2021_CIP[[#This Row],[TotalYR1]:[32-33]])</f>
        <v>258432</v>
      </c>
      <c r="AS19" s="23">
        <f>SUM(Table_2021_CIP[[#This Row],[TotalYR1]:[47-48]])</f>
        <v>258432</v>
      </c>
      <c r="AT19" s="24">
        <f>SUM(Table_2021_CIP[[#This Row],[22-23]:[47-48]])</f>
        <v>358432</v>
      </c>
    </row>
    <row r="20" spans="1:46" ht="12.75" customHeight="1" x14ac:dyDescent="0.25">
      <c r="A20" s="17">
        <f t="shared" si="0"/>
        <v>12</v>
      </c>
      <c r="B20" s="18" t="s">
        <v>101</v>
      </c>
      <c r="C20" s="18" t="b">
        <v>1</v>
      </c>
      <c r="D20" s="18">
        <v>220</v>
      </c>
      <c r="E20" s="18">
        <v>140</v>
      </c>
      <c r="F20" s="18" t="b">
        <v>0</v>
      </c>
      <c r="G20" s="18" t="s">
        <v>107</v>
      </c>
      <c r="H20" s="18" t="s">
        <v>108</v>
      </c>
      <c r="I20" s="19">
        <v>10123</v>
      </c>
      <c r="J20" s="18"/>
      <c r="K20" s="18" t="s">
        <v>73</v>
      </c>
      <c r="L20" s="18" t="s">
        <v>74</v>
      </c>
      <c r="M20" s="20">
        <v>0</v>
      </c>
      <c r="N20" s="21">
        <v>7</v>
      </c>
      <c r="O20" s="22" t="str">
        <f>IF(Table_2021_CIP[[#This Row],[Column2]]&lt;10,"A",IF(Table_2021_CIP[[#This Row],[Column2]]&gt;19,"C","B"))</f>
        <v>A</v>
      </c>
      <c r="P20" s="18" t="s">
        <v>109</v>
      </c>
      <c r="Q20" s="23">
        <v>50000</v>
      </c>
      <c r="R20" s="23">
        <v>25000</v>
      </c>
      <c r="S20" s="23">
        <v>0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>
        <f>Table_2021_CIP[[#This Row],[TotalYR1]]+S20</f>
        <v>25000</v>
      </c>
      <c r="AR20" s="23">
        <f>SUM(Table_2021_CIP[[#This Row],[TotalYR1]:[32-33]])</f>
        <v>25000</v>
      </c>
      <c r="AS20" s="23">
        <f>SUM(Table_2021_CIP[[#This Row],[TotalYR1]:[47-48]])</f>
        <v>25000</v>
      </c>
      <c r="AT20" s="24">
        <f>SUM(Table_2021_CIP[[#This Row],[22-23]:[47-48]])</f>
        <v>75000</v>
      </c>
    </row>
    <row r="21" spans="1:46" ht="12.75" customHeight="1" x14ac:dyDescent="0.25">
      <c r="A21" s="17">
        <f t="shared" si="0"/>
        <v>13</v>
      </c>
      <c r="B21" s="18" t="s">
        <v>70</v>
      </c>
      <c r="C21" s="18" t="b">
        <v>1</v>
      </c>
      <c r="D21" s="18">
        <v>140</v>
      </c>
      <c r="E21" s="18">
        <v>140</v>
      </c>
      <c r="F21" s="18" t="b">
        <v>0</v>
      </c>
      <c r="G21" s="18" t="s">
        <v>101</v>
      </c>
      <c r="H21" s="18" t="s">
        <v>110</v>
      </c>
      <c r="I21" s="19">
        <v>10129</v>
      </c>
      <c r="J21" s="18"/>
      <c r="K21" s="18" t="s">
        <v>73</v>
      </c>
      <c r="L21" s="18" t="s">
        <v>74</v>
      </c>
      <c r="M21" s="20">
        <v>0</v>
      </c>
      <c r="N21" s="21">
        <v>9</v>
      </c>
      <c r="O21" s="22" t="str">
        <f>IF(Table_2021_CIP[[#This Row],[Column2]]&lt;10,"A",IF(Table_2021_CIP[[#This Row],[Column2]]&gt;19,"C","B"))</f>
        <v>A</v>
      </c>
      <c r="P21" s="18" t="s">
        <v>111</v>
      </c>
      <c r="Q21" s="23">
        <v>50000</v>
      </c>
      <c r="R21" s="23">
        <v>0</v>
      </c>
      <c r="S21" s="23">
        <v>70000</v>
      </c>
      <c r="T21" s="23"/>
      <c r="U21" s="23">
        <v>70000</v>
      </c>
      <c r="V21" s="23"/>
      <c r="W21" s="23"/>
      <c r="X21" s="23">
        <v>70000</v>
      </c>
      <c r="Y21" s="23"/>
      <c r="Z21" s="23">
        <v>70000</v>
      </c>
      <c r="AA21" s="23"/>
      <c r="AB21" s="23"/>
      <c r="AC21" s="23">
        <v>70000</v>
      </c>
      <c r="AD21" s="23"/>
      <c r="AE21" s="23">
        <v>70000</v>
      </c>
      <c r="AF21" s="23"/>
      <c r="AG21" s="23"/>
      <c r="AH21" s="23">
        <v>70000</v>
      </c>
      <c r="AI21" s="23"/>
      <c r="AJ21" s="23"/>
      <c r="AK21" s="23">
        <v>70000</v>
      </c>
      <c r="AL21" s="23"/>
      <c r="AM21" s="23"/>
      <c r="AN21" s="23">
        <v>70000</v>
      </c>
      <c r="AO21" s="23"/>
      <c r="AP21" s="23"/>
      <c r="AQ21" s="23">
        <f>Table_2021_CIP[[#This Row],[TotalYR1]]+S21</f>
        <v>70000</v>
      </c>
      <c r="AR21" s="23">
        <f>SUM(Table_2021_CIP[[#This Row],[TotalYR1]:[32-33]])</f>
        <v>280000</v>
      </c>
      <c r="AS21" s="23">
        <f>SUM(Table_2021_CIP[[#This Row],[TotalYR1]:[47-48]])</f>
        <v>630000</v>
      </c>
      <c r="AT21" s="24">
        <f>SUM(Table_2021_CIP[[#This Row],[22-23]:[47-48]])</f>
        <v>680000</v>
      </c>
    </row>
    <row r="22" spans="1:46" ht="12.75" customHeight="1" x14ac:dyDescent="0.25">
      <c r="A22" s="17">
        <f t="shared" si="0"/>
        <v>14</v>
      </c>
      <c r="B22" s="18" t="s">
        <v>81</v>
      </c>
      <c r="C22" s="18" t="b">
        <v>1</v>
      </c>
      <c r="D22" s="18">
        <v>130</v>
      </c>
      <c r="E22" s="18">
        <v>130</v>
      </c>
      <c r="F22" s="18" t="b">
        <v>0</v>
      </c>
      <c r="G22" s="18" t="s">
        <v>107</v>
      </c>
      <c r="H22" s="18" t="s">
        <v>112</v>
      </c>
      <c r="I22" s="19">
        <v>10134</v>
      </c>
      <c r="J22" s="18"/>
      <c r="K22" s="18" t="s">
        <v>73</v>
      </c>
      <c r="L22" s="18" t="s">
        <v>74</v>
      </c>
      <c r="M22" s="20">
        <v>0.22600000000000001</v>
      </c>
      <c r="N22" s="21">
        <v>16</v>
      </c>
      <c r="O22" s="22" t="str">
        <f>IF(Table_2021_CIP[[#This Row],[Column2]]&lt;10,"A",IF(Table_2021_CIP[[#This Row],[Column2]]&gt;19,"C","B"))</f>
        <v>B</v>
      </c>
      <c r="P22" s="18" t="s">
        <v>113</v>
      </c>
      <c r="Q22" s="23">
        <v>34167.68</v>
      </c>
      <c r="R22" s="23">
        <f>235906.464-135000</f>
        <v>100906.46400000001</v>
      </c>
      <c r="S22" s="23">
        <v>100000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0</v>
      </c>
      <c r="AQ22" s="23">
        <f>Table_2021_CIP[[#This Row],[TotalYR1]]+S22</f>
        <v>200906.46400000001</v>
      </c>
      <c r="AR22" s="23">
        <f>SUM(Table_2021_CIP[[#This Row],[TotalYR1]:[32-33]])</f>
        <v>200906.46400000001</v>
      </c>
      <c r="AS22" s="23">
        <f>SUM(Table_2021_CIP[[#This Row],[TotalYR1]:[47-48]])</f>
        <v>200906.46400000001</v>
      </c>
      <c r="AT22" s="24">
        <f>SUM(Table_2021_CIP[[#This Row],[22-23]:[47-48]])</f>
        <v>235074.144</v>
      </c>
    </row>
    <row r="23" spans="1:46" ht="12.75" customHeight="1" x14ac:dyDescent="0.25">
      <c r="A23" s="17">
        <f t="shared" si="0"/>
        <v>15</v>
      </c>
      <c r="B23" s="18" t="s">
        <v>92</v>
      </c>
      <c r="C23" s="18" t="b">
        <v>1</v>
      </c>
      <c r="D23" s="18">
        <v>253</v>
      </c>
      <c r="E23" s="18">
        <v>130</v>
      </c>
      <c r="F23" s="18" t="b">
        <v>0</v>
      </c>
      <c r="G23" s="18" t="s">
        <v>89</v>
      </c>
      <c r="H23" s="18" t="s">
        <v>114</v>
      </c>
      <c r="I23" s="19">
        <v>10138</v>
      </c>
      <c r="J23" s="18" t="s">
        <v>115</v>
      </c>
      <c r="K23" s="18" t="s">
        <v>73</v>
      </c>
      <c r="L23" s="18" t="s">
        <v>74</v>
      </c>
      <c r="M23" s="20">
        <v>0</v>
      </c>
      <c r="N23" s="21">
        <v>9</v>
      </c>
      <c r="O23" s="22" t="str">
        <f>IF(Table_2021_CIP[[#This Row],[Column2]]&lt;10,"A",IF(Table_2021_CIP[[#This Row],[Column2]]&gt;19,"C","B"))</f>
        <v>A</v>
      </c>
      <c r="P23" s="18" t="s">
        <v>116</v>
      </c>
      <c r="Q23" s="23">
        <v>40446.79</v>
      </c>
      <c r="R23" s="23">
        <v>126145.0168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f>Table_2021_CIP[[#This Row],[TotalYR1]]+S23</f>
        <v>126145.0168</v>
      </c>
      <c r="AR23" s="23">
        <f>SUM(Table_2021_CIP[[#This Row],[TotalYR1]:[32-33]])</f>
        <v>126145.0168</v>
      </c>
      <c r="AS23" s="23">
        <f>SUM(Table_2021_CIP[[#This Row],[TotalYR1]:[47-48]])</f>
        <v>126145.0168</v>
      </c>
      <c r="AT23" s="24">
        <f>SUM(Table_2021_CIP[[#This Row],[22-23]:[47-48]])</f>
        <v>166591.80679999999</v>
      </c>
    </row>
    <row r="24" spans="1:46" ht="12.75" customHeight="1" x14ac:dyDescent="0.25">
      <c r="A24" s="25">
        <f t="shared" si="0"/>
        <v>16</v>
      </c>
      <c r="B24" t="s">
        <v>101</v>
      </c>
      <c r="C24" t="b">
        <v>0</v>
      </c>
      <c r="D24">
        <v>130</v>
      </c>
      <c r="E24">
        <v>130</v>
      </c>
      <c r="F24" t="b">
        <v>0</v>
      </c>
      <c r="G24" t="s">
        <v>71</v>
      </c>
      <c r="H24" t="s">
        <v>117</v>
      </c>
      <c r="I24" s="26">
        <v>10139</v>
      </c>
      <c r="J24"/>
      <c r="K24" t="s">
        <v>77</v>
      </c>
      <c r="L24" t="s">
        <v>85</v>
      </c>
      <c r="M24" s="27">
        <v>0</v>
      </c>
      <c r="N24" s="28">
        <v>14</v>
      </c>
      <c r="O24" s="29" t="str">
        <f>IF(Table_2021_CIP[[#This Row],[Column2]]&lt;10,"A",IF(Table_2021_CIP[[#This Row],[Column2]]&gt;19,"C","B"))</f>
        <v>B</v>
      </c>
      <c r="P24" t="s">
        <v>118</v>
      </c>
      <c r="Q24" s="30"/>
      <c r="R24" s="30">
        <v>459494.40000000002</v>
      </c>
      <c r="S24" s="30">
        <v>0</v>
      </c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>
        <f>Table_2021_CIP[[#This Row],[TotalYR1]]+S24</f>
        <v>459494.40000000002</v>
      </c>
      <c r="AR24" s="30">
        <f>SUM(Table_2021_CIP[[#This Row],[TotalYR1]:[32-33]])</f>
        <v>459494.40000000002</v>
      </c>
      <c r="AS24" s="30">
        <f>SUM(Table_2021_CIP[[#This Row],[TotalYR1]:[47-48]])</f>
        <v>459494.40000000002</v>
      </c>
      <c r="AT24" s="24">
        <f>SUM(Table_2021_CIP[[#This Row],[22-23]:[47-48]])</f>
        <v>459494.40000000002</v>
      </c>
    </row>
    <row r="25" spans="1:46" ht="12.75" customHeight="1" x14ac:dyDescent="0.25">
      <c r="A25" s="25">
        <f t="shared" si="0"/>
        <v>17</v>
      </c>
      <c r="B25" t="s">
        <v>92</v>
      </c>
      <c r="C25" t="b">
        <v>0</v>
      </c>
      <c r="D25">
        <v>740</v>
      </c>
      <c r="E25">
        <v>130</v>
      </c>
      <c r="F25" t="b">
        <v>1</v>
      </c>
      <c r="G25" t="s">
        <v>71</v>
      </c>
      <c r="H25" t="s">
        <v>117</v>
      </c>
      <c r="I25" s="26">
        <v>21003</v>
      </c>
      <c r="J25"/>
      <c r="K25" t="s">
        <v>73</v>
      </c>
      <c r="L25" t="s">
        <v>85</v>
      </c>
      <c r="M25" s="27">
        <v>0.22600000000000001</v>
      </c>
      <c r="N25" s="28">
        <v>1</v>
      </c>
      <c r="O25" s="29" t="str">
        <f>IF(Table_2021_CIP[[#This Row],[Column2]]&lt;10,"A",IF(Table_2021_CIP[[#This Row],[Column2]]&gt;19,"C","B"))</f>
        <v>A</v>
      </c>
      <c r="P25" t="s">
        <v>119</v>
      </c>
      <c r="Q25" s="30">
        <v>75000</v>
      </c>
      <c r="R25" s="30">
        <v>113280</v>
      </c>
      <c r="S25" s="30">
        <v>45312</v>
      </c>
      <c r="T25" s="30">
        <v>42000</v>
      </c>
      <c r="U25" s="30">
        <v>42000</v>
      </c>
      <c r="V25" s="30">
        <v>31000</v>
      </c>
      <c r="W25" s="30">
        <v>21000</v>
      </c>
      <c r="X25" s="30">
        <v>86000</v>
      </c>
      <c r="Y25" s="30">
        <v>21000</v>
      </c>
      <c r="Z25" s="30">
        <v>50000</v>
      </c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>
        <f>Table_2021_CIP[[#This Row],[TotalYR1]]+S25</f>
        <v>158592</v>
      </c>
      <c r="AR25" s="30">
        <f>SUM(Table_2021_CIP[[#This Row],[TotalYR1]:[32-33]])</f>
        <v>451592</v>
      </c>
      <c r="AS25" s="30">
        <f>SUM(Table_2021_CIP[[#This Row],[TotalYR1]:[47-48]])</f>
        <v>451592</v>
      </c>
      <c r="AT25" s="24">
        <f>SUM(Table_2021_CIP[[#This Row],[22-23]:[47-48]])</f>
        <v>526592</v>
      </c>
    </row>
    <row r="26" spans="1:46" ht="12.75" customHeight="1" x14ac:dyDescent="0.25">
      <c r="A26" s="25">
        <f t="shared" si="0"/>
        <v>18</v>
      </c>
      <c r="B26" t="s">
        <v>92</v>
      </c>
      <c r="C26" t="b">
        <v>0</v>
      </c>
      <c r="D26">
        <v>130</v>
      </c>
      <c r="E26">
        <v>130</v>
      </c>
      <c r="F26" t="b">
        <v>0</v>
      </c>
      <c r="G26" t="s">
        <v>71</v>
      </c>
      <c r="H26" t="s">
        <v>120</v>
      </c>
      <c r="I26" s="26">
        <v>21006</v>
      </c>
      <c r="J26"/>
      <c r="K26" t="s">
        <v>77</v>
      </c>
      <c r="L26" t="s">
        <v>85</v>
      </c>
      <c r="M26" s="27">
        <v>0.22600000000000001</v>
      </c>
      <c r="N26" s="28">
        <v>5</v>
      </c>
      <c r="O26" s="29" t="str">
        <f>IF(Table_2021_CIP[[#This Row],[Column2]]&lt;10,"A",IF(Table_2021_CIP[[#This Row],[Column2]]&gt;19,"C","B"))</f>
        <v>A</v>
      </c>
      <c r="P26" t="s">
        <v>121</v>
      </c>
      <c r="Q26" s="30">
        <v>157841.41</v>
      </c>
      <c r="R26" s="30">
        <v>26560</v>
      </c>
      <c r="S26" s="30">
        <v>0</v>
      </c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>
        <f>Table_2021_CIP[[#This Row],[TotalYR1]]+S26</f>
        <v>26560</v>
      </c>
      <c r="AR26" s="30">
        <f>SUM(Table_2021_CIP[[#This Row],[TotalYR1]:[32-33]])</f>
        <v>26560</v>
      </c>
      <c r="AS26" s="30">
        <f>SUM(Table_2021_CIP[[#This Row],[TotalYR1]:[47-48]])</f>
        <v>26560</v>
      </c>
      <c r="AT26" s="24">
        <f>SUM(Table_2021_CIP[[#This Row],[22-23]:[47-48]])</f>
        <v>184401.41</v>
      </c>
    </row>
    <row r="27" spans="1:46" ht="12.75" customHeight="1" x14ac:dyDescent="0.25">
      <c r="A27" s="25">
        <f t="shared" si="0"/>
        <v>19</v>
      </c>
      <c r="B27" t="s">
        <v>92</v>
      </c>
      <c r="C27" t="b">
        <v>0</v>
      </c>
      <c r="D27">
        <v>130</v>
      </c>
      <c r="E27">
        <v>130</v>
      </c>
      <c r="F27" t="b">
        <v>1</v>
      </c>
      <c r="G27" t="s">
        <v>89</v>
      </c>
      <c r="H27" t="s">
        <v>114</v>
      </c>
      <c r="I27" s="26">
        <v>21012</v>
      </c>
      <c r="J27" t="s">
        <v>115</v>
      </c>
      <c r="K27" t="s">
        <v>73</v>
      </c>
      <c r="L27" t="s">
        <v>85</v>
      </c>
      <c r="M27" s="27">
        <v>0.22600000000000001</v>
      </c>
      <c r="N27" s="28">
        <v>2</v>
      </c>
      <c r="O27" s="29" t="str">
        <f>IF(Table_2021_CIP[[#This Row],[Column2]]&lt;10,"A",IF(Table_2021_CIP[[#This Row],[Column2]]&gt;19,"C","B"))</f>
        <v>A</v>
      </c>
      <c r="P27" t="s">
        <v>122</v>
      </c>
      <c r="Q27" s="30">
        <v>1169527.5</v>
      </c>
      <c r="R27" s="30">
        <v>79680</v>
      </c>
      <c r="S27" s="30">
        <v>0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>
        <f>Table_2021_CIP[[#This Row],[TotalYR1]]+S27</f>
        <v>79680</v>
      </c>
      <c r="AR27" s="30">
        <f>SUM(Table_2021_CIP[[#This Row],[TotalYR1]:[32-33]])</f>
        <v>79680</v>
      </c>
      <c r="AS27" s="30">
        <f>SUM(Table_2021_CIP[[#This Row],[TotalYR1]:[47-48]])</f>
        <v>79680</v>
      </c>
      <c r="AT27" s="24">
        <f>SUM(Table_2021_CIP[[#This Row],[22-23]:[47-48]])</f>
        <v>1249207.5</v>
      </c>
    </row>
    <row r="28" spans="1:46" ht="12.75" customHeight="1" x14ac:dyDescent="0.25">
      <c r="A28" s="25">
        <f t="shared" si="0"/>
        <v>20</v>
      </c>
      <c r="B28" t="s">
        <v>92</v>
      </c>
      <c r="C28" t="b">
        <v>0</v>
      </c>
      <c r="D28">
        <v>130</v>
      </c>
      <c r="E28">
        <v>130</v>
      </c>
      <c r="F28" t="b">
        <v>0</v>
      </c>
      <c r="G28" t="s">
        <v>89</v>
      </c>
      <c r="H28" t="s">
        <v>123</v>
      </c>
      <c r="I28" s="26">
        <v>21019</v>
      </c>
      <c r="J28" t="s">
        <v>115</v>
      </c>
      <c r="K28" t="s">
        <v>73</v>
      </c>
      <c r="L28" t="s">
        <v>85</v>
      </c>
      <c r="M28" s="27">
        <v>0.22600000000000001</v>
      </c>
      <c r="N28" s="28">
        <v>2</v>
      </c>
      <c r="O28" s="29" t="str">
        <f>IF(Table_2021_CIP[[#This Row],[Column2]]&lt;10,"A",IF(Table_2021_CIP[[#This Row],[Column2]]&gt;19,"C","B"))</f>
        <v>A</v>
      </c>
      <c r="P28" t="s">
        <v>124</v>
      </c>
      <c r="Q28" s="30">
        <v>714594.24</v>
      </c>
      <c r="R28" s="30">
        <v>26560</v>
      </c>
      <c r="S28" s="30">
        <v>0</v>
      </c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>
        <f>Table_2021_CIP[[#This Row],[TotalYR1]]+S28</f>
        <v>26560</v>
      </c>
      <c r="AR28" s="30">
        <f>SUM(Table_2021_CIP[[#This Row],[TotalYR1]:[32-33]])</f>
        <v>26560</v>
      </c>
      <c r="AS28" s="30">
        <f>SUM(Table_2021_CIP[[#This Row],[TotalYR1]:[47-48]])</f>
        <v>26560</v>
      </c>
      <c r="AT28" s="24">
        <f>SUM(Table_2021_CIP[[#This Row],[22-23]:[47-48]])</f>
        <v>741154.24</v>
      </c>
    </row>
    <row r="29" spans="1:46" ht="12.75" customHeight="1" x14ac:dyDescent="0.25">
      <c r="A29" s="25">
        <f t="shared" si="0"/>
        <v>21</v>
      </c>
      <c r="B29" t="s">
        <v>81</v>
      </c>
      <c r="C29" t="b">
        <v>0</v>
      </c>
      <c r="D29">
        <v>220</v>
      </c>
      <c r="E29">
        <v>220</v>
      </c>
      <c r="F29" t="b">
        <v>0</v>
      </c>
      <c r="G29" t="s">
        <v>107</v>
      </c>
      <c r="H29" t="s">
        <v>125</v>
      </c>
      <c r="I29" s="26">
        <v>21045</v>
      </c>
      <c r="J29" t="s">
        <v>126</v>
      </c>
      <c r="K29" t="s">
        <v>73</v>
      </c>
      <c r="L29" t="s">
        <v>85</v>
      </c>
      <c r="M29" s="27">
        <v>0</v>
      </c>
      <c r="N29" s="28">
        <v>1</v>
      </c>
      <c r="O29" s="29" t="str">
        <f>IF(Table_2021_CIP[[#This Row],[Column2]]&lt;10,"A",IF(Table_2021_CIP[[#This Row],[Column2]]&gt;19,"C","B"))</f>
        <v>A</v>
      </c>
      <c r="P29" t="s">
        <v>127</v>
      </c>
      <c r="Q29" s="30">
        <v>4000</v>
      </c>
      <c r="R29" s="30">
        <v>6000</v>
      </c>
      <c r="S29" s="30">
        <v>6000</v>
      </c>
      <c r="T29" s="30">
        <v>6000</v>
      </c>
      <c r="U29" s="30">
        <v>6000</v>
      </c>
      <c r="V29" s="30">
        <v>6000</v>
      </c>
      <c r="W29" s="30">
        <v>6000</v>
      </c>
      <c r="X29" s="30">
        <v>6000</v>
      </c>
      <c r="Y29" s="30">
        <v>6000</v>
      </c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>
        <f>Table_2021_CIP[[#This Row],[TotalYR1]]+S29</f>
        <v>12000</v>
      </c>
      <c r="AR29" s="30">
        <f>SUM(Table_2021_CIP[[#This Row],[TotalYR1]:[32-33]])</f>
        <v>48000</v>
      </c>
      <c r="AS29" s="30">
        <f>SUM(Table_2021_CIP[[#This Row],[TotalYR1]:[47-48]])</f>
        <v>48000</v>
      </c>
      <c r="AT29" s="24">
        <f>SUM(Table_2021_CIP[[#This Row],[22-23]:[47-48]])</f>
        <v>52000</v>
      </c>
    </row>
    <row r="30" spans="1:46" ht="12.75" customHeight="1" x14ac:dyDescent="0.25">
      <c r="A30" s="25">
        <f t="shared" si="0"/>
        <v>22</v>
      </c>
      <c r="B30" t="s">
        <v>81</v>
      </c>
      <c r="C30" t="b">
        <v>0</v>
      </c>
      <c r="D30">
        <v>220</v>
      </c>
      <c r="E30">
        <v>220</v>
      </c>
      <c r="F30" t="b">
        <v>1</v>
      </c>
      <c r="G30" t="s">
        <v>107</v>
      </c>
      <c r="H30" t="s">
        <v>128</v>
      </c>
      <c r="I30" s="26">
        <v>21046</v>
      </c>
      <c r="J30" t="s">
        <v>126</v>
      </c>
      <c r="K30" t="s">
        <v>73</v>
      </c>
      <c r="L30" t="s">
        <v>85</v>
      </c>
      <c r="M30" s="27">
        <v>0</v>
      </c>
      <c r="N30" s="28">
        <v>1</v>
      </c>
      <c r="O30" s="29" t="str">
        <f>IF(Table_2021_CIP[[#This Row],[Column2]]&lt;10,"A",IF(Table_2021_CIP[[#This Row],[Column2]]&gt;19,"C","B"))</f>
        <v>A</v>
      </c>
      <c r="P30" t="s">
        <v>129</v>
      </c>
      <c r="Q30" s="30">
        <v>20000</v>
      </c>
      <c r="R30" s="30">
        <v>30000</v>
      </c>
      <c r="S30" s="30">
        <v>30000</v>
      </c>
      <c r="T30" s="30">
        <v>40000</v>
      </c>
      <c r="U30" s="30">
        <v>40000</v>
      </c>
      <c r="V30" s="30">
        <v>40000</v>
      </c>
      <c r="W30" s="30">
        <v>40000</v>
      </c>
      <c r="X30" s="30">
        <v>40000</v>
      </c>
      <c r="Y30" s="30">
        <v>40000</v>
      </c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>
        <f>Table_2021_CIP[[#This Row],[TotalYR1]]+S30</f>
        <v>60000</v>
      </c>
      <c r="AR30" s="30">
        <f>SUM(Table_2021_CIP[[#This Row],[TotalYR1]:[32-33]])</f>
        <v>300000</v>
      </c>
      <c r="AS30" s="30">
        <f>SUM(Table_2021_CIP[[#This Row],[TotalYR1]:[47-48]])</f>
        <v>300000</v>
      </c>
      <c r="AT30" s="24">
        <f>SUM(Table_2021_CIP[[#This Row],[22-23]:[47-48]])</f>
        <v>320000</v>
      </c>
    </row>
    <row r="31" spans="1:46" ht="12.75" customHeight="1" x14ac:dyDescent="0.25">
      <c r="A31" s="25">
        <f t="shared" si="0"/>
        <v>23</v>
      </c>
      <c r="B31" t="s">
        <v>81</v>
      </c>
      <c r="C31" t="b">
        <v>0</v>
      </c>
      <c r="D31">
        <v>220</v>
      </c>
      <c r="E31">
        <v>220</v>
      </c>
      <c r="F31" t="b">
        <v>1</v>
      </c>
      <c r="G31" t="s">
        <v>107</v>
      </c>
      <c r="H31" t="s">
        <v>130</v>
      </c>
      <c r="I31" s="26">
        <v>21047</v>
      </c>
      <c r="J31" t="s">
        <v>126</v>
      </c>
      <c r="K31" t="s">
        <v>73</v>
      </c>
      <c r="L31" t="s">
        <v>85</v>
      </c>
      <c r="M31" s="27">
        <v>0</v>
      </c>
      <c r="N31" s="28">
        <v>1</v>
      </c>
      <c r="O31" s="29" t="str">
        <f>IF(Table_2021_CIP[[#This Row],[Column2]]&lt;10,"A",IF(Table_2021_CIP[[#This Row],[Column2]]&gt;19,"C","B"))</f>
        <v>A</v>
      </c>
      <c r="P31" t="s">
        <v>131</v>
      </c>
      <c r="Q31" s="30">
        <v>2428000</v>
      </c>
      <c r="R31" s="30">
        <v>1500000</v>
      </c>
      <c r="S31" s="30">
        <v>1500000</v>
      </c>
      <c r="T31" s="30">
        <v>1500000</v>
      </c>
      <c r="U31" s="30">
        <v>1500000</v>
      </c>
      <c r="V31" s="30">
        <v>1500000</v>
      </c>
      <c r="W31" s="30">
        <v>2428000</v>
      </c>
      <c r="X31" s="30">
        <v>2428000</v>
      </c>
      <c r="Y31" s="30">
        <v>2428000</v>
      </c>
      <c r="Z31" s="30">
        <v>2428000</v>
      </c>
      <c r="AA31" s="30">
        <v>2428000</v>
      </c>
      <c r="AB31" s="30">
        <v>2428000</v>
      </c>
      <c r="AC31" s="30">
        <f>2428000*0.9</f>
        <v>2185200</v>
      </c>
      <c r="AD31" s="30">
        <f t="shared" ref="AD31:AP31" si="1">2428000*0.9</f>
        <v>2185200</v>
      </c>
      <c r="AE31" s="30">
        <f t="shared" si="1"/>
        <v>2185200</v>
      </c>
      <c r="AF31" s="30">
        <f t="shared" si="1"/>
        <v>2185200</v>
      </c>
      <c r="AG31" s="30">
        <f t="shared" si="1"/>
        <v>2185200</v>
      </c>
      <c r="AH31" s="30">
        <f t="shared" si="1"/>
        <v>2185200</v>
      </c>
      <c r="AI31" s="30">
        <f t="shared" si="1"/>
        <v>2185200</v>
      </c>
      <c r="AJ31" s="30">
        <f t="shared" si="1"/>
        <v>2185200</v>
      </c>
      <c r="AK31" s="30">
        <f t="shared" si="1"/>
        <v>2185200</v>
      </c>
      <c r="AL31" s="30">
        <f t="shared" si="1"/>
        <v>2185200</v>
      </c>
      <c r="AM31" s="30">
        <f t="shared" si="1"/>
        <v>2185200</v>
      </c>
      <c r="AN31" s="30">
        <f t="shared" si="1"/>
        <v>2185200</v>
      </c>
      <c r="AO31" s="30">
        <f t="shared" si="1"/>
        <v>2185200</v>
      </c>
      <c r="AP31" s="30">
        <f t="shared" si="1"/>
        <v>2185200</v>
      </c>
      <c r="AQ31" s="30">
        <f>Table_2021_CIP[[#This Row],[TotalYR1]]+S31</f>
        <v>3000000</v>
      </c>
      <c r="AR31" s="30">
        <f>SUM(Table_2021_CIP[[#This Row],[TotalYR1]:[32-33]])</f>
        <v>19640000</v>
      </c>
      <c r="AS31" s="30">
        <f>SUM(Table_2021_CIP[[#This Row],[TotalYR1]:[47-48]])</f>
        <v>52660800</v>
      </c>
      <c r="AT31" s="24">
        <f>SUM(Table_2021_CIP[[#This Row],[22-23]:[47-48]])</f>
        <v>55088800</v>
      </c>
    </row>
    <row r="32" spans="1:46" ht="12.75" customHeight="1" x14ac:dyDescent="0.25">
      <c r="A32" s="25">
        <f t="shared" si="0"/>
        <v>24</v>
      </c>
      <c r="B32" t="s">
        <v>81</v>
      </c>
      <c r="C32" t="b">
        <v>0</v>
      </c>
      <c r="D32">
        <v>220</v>
      </c>
      <c r="E32">
        <v>220</v>
      </c>
      <c r="F32" t="b">
        <v>1</v>
      </c>
      <c r="G32" t="s">
        <v>107</v>
      </c>
      <c r="H32" t="s">
        <v>132</v>
      </c>
      <c r="I32" s="26">
        <v>21048</v>
      </c>
      <c r="J32" t="s">
        <v>126</v>
      </c>
      <c r="K32" t="s">
        <v>73</v>
      </c>
      <c r="L32" t="s">
        <v>85</v>
      </c>
      <c r="M32" s="27">
        <v>0</v>
      </c>
      <c r="N32" s="28">
        <v>1</v>
      </c>
      <c r="O32" s="29" t="str">
        <f>IF(Table_2021_CIP[[#This Row],[Column2]]&lt;10,"A",IF(Table_2021_CIP[[#This Row],[Column2]]&gt;19,"C","B"))</f>
        <v>A</v>
      </c>
      <c r="P32" t="s">
        <v>133</v>
      </c>
      <c r="Q32" s="30">
        <v>169208</v>
      </c>
      <c r="R32" s="30">
        <v>140000</v>
      </c>
      <c r="S32" s="30">
        <v>140000</v>
      </c>
      <c r="T32" s="30">
        <v>140000</v>
      </c>
      <c r="U32" s="30">
        <v>140000</v>
      </c>
      <c r="V32" s="30">
        <v>140000</v>
      </c>
      <c r="W32" s="30">
        <v>169208</v>
      </c>
      <c r="X32" s="30">
        <v>169208</v>
      </c>
      <c r="Y32" s="30">
        <v>169208</v>
      </c>
      <c r="Z32" s="30">
        <v>169208</v>
      </c>
      <c r="AA32" s="30">
        <v>169208</v>
      </c>
      <c r="AB32" s="30">
        <v>169208</v>
      </c>
      <c r="AC32" s="30">
        <f>169208*0.9</f>
        <v>152287.20000000001</v>
      </c>
      <c r="AD32" s="30">
        <f t="shared" ref="AD32:AP32" si="2">169208*0.9</f>
        <v>152287.20000000001</v>
      </c>
      <c r="AE32" s="30">
        <f t="shared" si="2"/>
        <v>152287.20000000001</v>
      </c>
      <c r="AF32" s="30">
        <f t="shared" si="2"/>
        <v>152287.20000000001</v>
      </c>
      <c r="AG32" s="30">
        <f t="shared" si="2"/>
        <v>152287.20000000001</v>
      </c>
      <c r="AH32" s="30">
        <f t="shared" si="2"/>
        <v>152287.20000000001</v>
      </c>
      <c r="AI32" s="30">
        <f t="shared" si="2"/>
        <v>152287.20000000001</v>
      </c>
      <c r="AJ32" s="30">
        <f t="shared" si="2"/>
        <v>152287.20000000001</v>
      </c>
      <c r="AK32" s="30">
        <f t="shared" si="2"/>
        <v>152287.20000000001</v>
      </c>
      <c r="AL32" s="30">
        <f t="shared" si="2"/>
        <v>152287.20000000001</v>
      </c>
      <c r="AM32" s="30">
        <f t="shared" si="2"/>
        <v>152287.20000000001</v>
      </c>
      <c r="AN32" s="30">
        <f t="shared" si="2"/>
        <v>152287.20000000001</v>
      </c>
      <c r="AO32" s="30">
        <f t="shared" si="2"/>
        <v>152287.20000000001</v>
      </c>
      <c r="AP32" s="30">
        <f t="shared" si="2"/>
        <v>152287.20000000001</v>
      </c>
      <c r="AQ32" s="30">
        <f>Table_2021_CIP[[#This Row],[TotalYR1]]+S32</f>
        <v>280000</v>
      </c>
      <c r="AR32" s="30">
        <f>SUM(Table_2021_CIP[[#This Row],[TotalYR1]:[32-33]])</f>
        <v>1546040</v>
      </c>
      <c r="AS32" s="30">
        <f>SUM(Table_2021_CIP[[#This Row],[TotalYR1]:[47-48]])</f>
        <v>3847268.8000000021</v>
      </c>
      <c r="AT32" s="24">
        <f>SUM(Table_2021_CIP[[#This Row],[22-23]:[47-48]])</f>
        <v>4016476.8000000021</v>
      </c>
    </row>
    <row r="33" spans="1:46" ht="12.75" customHeight="1" x14ac:dyDescent="0.25">
      <c r="A33" s="25">
        <f t="shared" si="0"/>
        <v>25</v>
      </c>
      <c r="B33" t="s">
        <v>81</v>
      </c>
      <c r="C33" t="b">
        <v>0</v>
      </c>
      <c r="D33">
        <v>740</v>
      </c>
      <c r="E33">
        <v>253</v>
      </c>
      <c r="F33" t="b">
        <v>0</v>
      </c>
      <c r="G33" t="s">
        <v>71</v>
      </c>
      <c r="H33" t="s">
        <v>134</v>
      </c>
      <c r="I33" s="26">
        <v>21060</v>
      </c>
      <c r="J33"/>
      <c r="K33" t="s">
        <v>73</v>
      </c>
      <c r="L33" t="s">
        <v>85</v>
      </c>
      <c r="M33" s="27">
        <v>0</v>
      </c>
      <c r="N33" s="28">
        <v>26</v>
      </c>
      <c r="O33" s="29" t="str">
        <f>IF(Table_2021_CIP[[#This Row],[Column2]]&lt;10,"A",IF(Table_2021_CIP[[#This Row],[Column2]]&gt;19,"C","B"))</f>
        <v>C</v>
      </c>
      <c r="P33" t="s">
        <v>135</v>
      </c>
      <c r="Q33" s="30">
        <v>4389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G33" s="30">
        <v>0</v>
      </c>
      <c r="AH33" s="30">
        <v>0</v>
      </c>
      <c r="AI33" s="30">
        <v>0</v>
      </c>
      <c r="AJ33" s="30">
        <v>0</v>
      </c>
      <c r="AK33" s="30">
        <v>0</v>
      </c>
      <c r="AL33" s="30">
        <v>0</v>
      </c>
      <c r="AM33" s="30">
        <v>0</v>
      </c>
      <c r="AN33" s="30">
        <v>0</v>
      </c>
      <c r="AO33" s="30">
        <v>0</v>
      </c>
      <c r="AP33" s="30">
        <v>0</v>
      </c>
      <c r="AQ33" s="30">
        <f>Table_2021_CIP[[#This Row],[TotalYR1]]+S33</f>
        <v>0</v>
      </c>
      <c r="AR33" s="30">
        <f>SUM(Table_2021_CIP[[#This Row],[TotalYR1]:[32-33]])</f>
        <v>0</v>
      </c>
      <c r="AS33" s="30">
        <f>SUM(Table_2021_CIP[[#This Row],[TotalYR1]:[47-48]])</f>
        <v>0</v>
      </c>
      <c r="AT33" s="24">
        <f>SUM(Table_2021_CIP[[#This Row],[22-23]:[47-48]])</f>
        <v>4389</v>
      </c>
    </row>
    <row r="34" spans="1:46" ht="12.75" customHeight="1" x14ac:dyDescent="0.25">
      <c r="A34" s="25">
        <f t="shared" si="0"/>
        <v>26</v>
      </c>
      <c r="B34" t="s">
        <v>100</v>
      </c>
      <c r="C34" t="b">
        <v>0</v>
      </c>
      <c r="D34">
        <v>750</v>
      </c>
      <c r="E34">
        <v>140</v>
      </c>
      <c r="F34" t="b">
        <v>0</v>
      </c>
      <c r="G34" t="s">
        <v>82</v>
      </c>
      <c r="H34" t="s">
        <v>136</v>
      </c>
      <c r="I34" s="26">
        <v>21067</v>
      </c>
      <c r="J34"/>
      <c r="K34" t="s">
        <v>73</v>
      </c>
      <c r="L34" t="s">
        <v>85</v>
      </c>
      <c r="M34" s="27">
        <v>0.22600000000000001</v>
      </c>
      <c r="N34" s="28">
        <v>17</v>
      </c>
      <c r="O34" s="29" t="str">
        <f>IF(Table_2021_CIP[[#This Row],[Column2]]&lt;10,"A",IF(Table_2021_CIP[[#This Row],[Column2]]&gt;19,"C","B"))</f>
        <v>B</v>
      </c>
      <c r="P34" t="s">
        <v>137</v>
      </c>
      <c r="Q34" s="30">
        <v>35000</v>
      </c>
      <c r="R34" s="30">
        <v>30000</v>
      </c>
      <c r="S34" s="30">
        <v>0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>
        <f>Table_2021_CIP[[#This Row],[TotalYR1]]+S34</f>
        <v>30000</v>
      </c>
      <c r="AR34" s="30">
        <f>SUM(Table_2021_CIP[[#This Row],[TotalYR1]:[32-33]])</f>
        <v>30000</v>
      </c>
      <c r="AS34" s="30">
        <f>SUM(Table_2021_CIP[[#This Row],[TotalYR1]:[47-48]])</f>
        <v>30000</v>
      </c>
      <c r="AT34" s="24">
        <f>SUM(Table_2021_CIP[[#This Row],[22-23]:[47-48]])</f>
        <v>65000</v>
      </c>
    </row>
    <row r="35" spans="1:46" ht="12.75" customHeight="1" x14ac:dyDescent="0.25">
      <c r="A35" s="25">
        <f t="shared" si="0"/>
        <v>27</v>
      </c>
      <c r="B35" t="s">
        <v>81</v>
      </c>
      <c r="C35" t="b">
        <v>0</v>
      </c>
      <c r="D35">
        <v>750</v>
      </c>
      <c r="E35">
        <v>130</v>
      </c>
      <c r="F35" t="b">
        <v>0</v>
      </c>
      <c r="G35" t="s">
        <v>101</v>
      </c>
      <c r="H35" t="s">
        <v>138</v>
      </c>
      <c r="I35" s="26">
        <v>21103</v>
      </c>
      <c r="J35"/>
      <c r="K35" t="s">
        <v>73</v>
      </c>
      <c r="L35" t="s">
        <v>85</v>
      </c>
      <c r="M35" s="27">
        <v>0</v>
      </c>
      <c r="N35" s="28">
        <v>19</v>
      </c>
      <c r="O35" s="29" t="str">
        <f>IF(Table_2021_CIP[[#This Row],[Column2]]&lt;10,"A",IF(Table_2021_CIP[[#This Row],[Column2]]&gt;19,"C","B"))</f>
        <v>B</v>
      </c>
      <c r="P35" t="s">
        <v>139</v>
      </c>
      <c r="Q35" s="30"/>
      <c r="R35" s="30">
        <v>0</v>
      </c>
      <c r="S35" s="30">
        <v>0</v>
      </c>
      <c r="T35" s="30"/>
      <c r="U35" s="30"/>
      <c r="V35" s="30"/>
      <c r="W35" s="30"/>
      <c r="X35" s="30"/>
      <c r="Y35" s="30"/>
      <c r="Z35" s="30"/>
      <c r="AA35" s="30"/>
      <c r="AB35" s="30"/>
      <c r="AC35" s="30">
        <v>385200</v>
      </c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>
        <f>Table_2021_CIP[[#This Row],[TotalYR1]]+S35</f>
        <v>0</v>
      </c>
      <c r="AR35" s="30">
        <f>SUM(Table_2021_CIP[[#This Row],[TotalYR1]:[32-33]])</f>
        <v>0</v>
      </c>
      <c r="AS35" s="30">
        <f>SUM(Table_2021_CIP[[#This Row],[TotalYR1]:[47-48]])</f>
        <v>385200</v>
      </c>
      <c r="AT35" s="24">
        <f>SUM(Table_2021_CIP[[#This Row],[22-23]:[47-48]])</f>
        <v>385200</v>
      </c>
    </row>
    <row r="36" spans="1:46" ht="12.75" customHeight="1" x14ac:dyDescent="0.25">
      <c r="A36" s="25">
        <f t="shared" si="0"/>
        <v>28</v>
      </c>
      <c r="B36" t="s">
        <v>92</v>
      </c>
      <c r="C36" t="b">
        <v>0</v>
      </c>
      <c r="D36">
        <v>130</v>
      </c>
      <c r="E36">
        <v>130</v>
      </c>
      <c r="F36" t="b">
        <v>0</v>
      </c>
      <c r="G36" t="s">
        <v>89</v>
      </c>
      <c r="H36" t="s">
        <v>140</v>
      </c>
      <c r="I36" s="26">
        <v>21106</v>
      </c>
      <c r="J36" t="s">
        <v>115</v>
      </c>
      <c r="K36" t="s">
        <v>77</v>
      </c>
      <c r="L36" t="s">
        <v>85</v>
      </c>
      <c r="M36" s="27">
        <v>0</v>
      </c>
      <c r="N36" s="28">
        <v>2</v>
      </c>
      <c r="O36" s="29" t="str">
        <f>IF(Table_2021_CIP[[#This Row],[Column2]]&lt;10,"A",IF(Table_2021_CIP[[#This Row],[Column2]]&gt;19,"C","B"))</f>
        <v>A</v>
      </c>
      <c r="P36" t="s">
        <v>141</v>
      </c>
      <c r="Q36" s="30"/>
      <c r="R36" s="30">
        <v>0</v>
      </c>
      <c r="S36" s="30">
        <v>0</v>
      </c>
      <c r="T36" s="30">
        <v>500000</v>
      </c>
      <c r="U36" s="30">
        <v>500000</v>
      </c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>
        <f>Table_2021_CIP[[#This Row],[TotalYR1]]+S36</f>
        <v>0</v>
      </c>
      <c r="AR36" s="30">
        <f>SUM(Table_2021_CIP[[#This Row],[TotalYR1]:[32-33]])</f>
        <v>1000000</v>
      </c>
      <c r="AS36" s="30">
        <f>SUM(Table_2021_CIP[[#This Row],[TotalYR1]:[47-48]])</f>
        <v>1000000</v>
      </c>
      <c r="AT36" s="24">
        <f>SUM(Table_2021_CIP[[#This Row],[22-23]:[47-48]])</f>
        <v>1000000</v>
      </c>
    </row>
    <row r="37" spans="1:46" ht="12.75" customHeight="1" x14ac:dyDescent="0.25">
      <c r="A37" s="25">
        <f t="shared" si="0"/>
        <v>29</v>
      </c>
      <c r="B37" t="s">
        <v>81</v>
      </c>
      <c r="C37" t="b">
        <v>0</v>
      </c>
      <c r="D37">
        <v>130</v>
      </c>
      <c r="E37">
        <v>130</v>
      </c>
      <c r="F37" t="b">
        <v>0</v>
      </c>
      <c r="G37" t="s">
        <v>107</v>
      </c>
      <c r="H37" t="s">
        <v>142</v>
      </c>
      <c r="I37" s="26">
        <v>21117</v>
      </c>
      <c r="J37"/>
      <c r="K37" t="s">
        <v>73</v>
      </c>
      <c r="L37" t="s">
        <v>85</v>
      </c>
      <c r="M37" s="27">
        <v>0.22600000000000001</v>
      </c>
      <c r="N37" s="28">
        <v>10</v>
      </c>
      <c r="O37" s="29" t="str">
        <f>IF(Table_2021_CIP[[#This Row],[Column2]]&lt;10,"A",IF(Table_2021_CIP[[#This Row],[Column2]]&gt;19,"C","B"))</f>
        <v>B</v>
      </c>
      <c r="P37" t="s">
        <v>143</v>
      </c>
      <c r="Q37" s="30">
        <v>0</v>
      </c>
      <c r="R37" s="30">
        <v>0</v>
      </c>
      <c r="S37" s="30">
        <v>0</v>
      </c>
      <c r="T37" s="30">
        <v>84000</v>
      </c>
      <c r="U37" s="30"/>
      <c r="V37" s="30">
        <v>962000</v>
      </c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>
        <f>Table_2021_CIP[[#This Row],[TotalYR1]]+S37</f>
        <v>0</v>
      </c>
      <c r="AR37" s="30">
        <f>SUM(Table_2021_CIP[[#This Row],[TotalYR1]:[32-33]])</f>
        <v>1046000</v>
      </c>
      <c r="AS37" s="30">
        <f>SUM(Table_2021_CIP[[#This Row],[TotalYR1]:[47-48]])</f>
        <v>1046000</v>
      </c>
      <c r="AT37" s="24">
        <f>SUM(Table_2021_CIP[[#This Row],[22-23]:[47-48]])</f>
        <v>1046000</v>
      </c>
    </row>
    <row r="38" spans="1:46" ht="12.75" customHeight="1" x14ac:dyDescent="0.25">
      <c r="A38" s="25">
        <f t="shared" si="0"/>
        <v>30</v>
      </c>
      <c r="B38" t="s">
        <v>81</v>
      </c>
      <c r="C38" t="b">
        <v>0</v>
      </c>
      <c r="D38">
        <v>130</v>
      </c>
      <c r="E38">
        <v>130</v>
      </c>
      <c r="F38" t="b">
        <v>0</v>
      </c>
      <c r="G38" t="s">
        <v>107</v>
      </c>
      <c r="H38" t="s">
        <v>144</v>
      </c>
      <c r="I38" s="26">
        <v>21126</v>
      </c>
      <c r="J38"/>
      <c r="K38" t="s">
        <v>73</v>
      </c>
      <c r="L38" t="s">
        <v>85</v>
      </c>
      <c r="M38" s="27">
        <v>0.17000000178813901</v>
      </c>
      <c r="N38" s="28">
        <v>8</v>
      </c>
      <c r="O38" s="29" t="str">
        <f>IF(Table_2021_CIP[[#This Row],[Column2]]&lt;10,"A",IF(Table_2021_CIP[[#This Row],[Column2]]&gt;19,"C","B"))</f>
        <v>A</v>
      </c>
      <c r="P38" t="s">
        <v>145</v>
      </c>
      <c r="Q38" s="30">
        <v>2688432</v>
      </c>
      <c r="R38" s="30">
        <v>0</v>
      </c>
      <c r="S38" s="30">
        <v>0</v>
      </c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>
        <f>Table_2021_CIP[[#This Row],[TotalYR1]]+S38</f>
        <v>0</v>
      </c>
      <c r="AR38" s="30">
        <f>SUM(Table_2021_CIP[[#This Row],[TotalYR1]:[32-33]])</f>
        <v>0</v>
      </c>
      <c r="AS38" s="30">
        <f>SUM(Table_2021_CIP[[#This Row],[TotalYR1]:[47-48]])</f>
        <v>0</v>
      </c>
      <c r="AT38" s="24">
        <f>SUM(Table_2021_CIP[[#This Row],[22-23]:[47-48]])</f>
        <v>2688432</v>
      </c>
    </row>
    <row r="39" spans="1:46" ht="12.75" customHeight="1" x14ac:dyDescent="0.25">
      <c r="A39" s="25">
        <f t="shared" si="0"/>
        <v>31</v>
      </c>
      <c r="B39" t="s">
        <v>81</v>
      </c>
      <c r="C39" t="b">
        <v>0</v>
      </c>
      <c r="D39">
        <v>130</v>
      </c>
      <c r="E39">
        <v>130</v>
      </c>
      <c r="F39" t="b">
        <v>0</v>
      </c>
      <c r="G39" t="s">
        <v>107</v>
      </c>
      <c r="H39" t="s">
        <v>146</v>
      </c>
      <c r="I39" s="26">
        <v>21161</v>
      </c>
      <c r="J39" t="s">
        <v>147</v>
      </c>
      <c r="K39" t="s">
        <v>73</v>
      </c>
      <c r="L39" t="s">
        <v>85</v>
      </c>
      <c r="M39" s="27">
        <v>0.22600000000000001</v>
      </c>
      <c r="N39" s="28">
        <v>2</v>
      </c>
      <c r="O39" s="29" t="str">
        <f>IF(Table_2021_CIP[[#This Row],[Column2]]&lt;10,"A",IF(Table_2021_CIP[[#This Row],[Column2]]&gt;19,"C","B"))</f>
        <v>A</v>
      </c>
      <c r="P39" t="s">
        <v>148</v>
      </c>
      <c r="Q39" s="30">
        <v>50</v>
      </c>
      <c r="R39" s="30">
        <v>463871.92359999998</v>
      </c>
      <c r="S39" s="30">
        <v>674215.39789999998</v>
      </c>
      <c r="T39" s="30">
        <v>1147089</v>
      </c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>
        <f>Table_2021_CIP[[#This Row],[TotalYR1]]+S39</f>
        <v>1138087.3215000001</v>
      </c>
      <c r="AR39" s="30">
        <f>SUM(Table_2021_CIP[[#This Row],[TotalYR1]:[32-33]])</f>
        <v>2285176.3215000001</v>
      </c>
      <c r="AS39" s="30">
        <f>SUM(Table_2021_CIP[[#This Row],[TotalYR1]:[47-48]])</f>
        <v>2285176.3215000001</v>
      </c>
      <c r="AT39" s="24">
        <f>SUM(Table_2021_CIP[[#This Row],[22-23]:[47-48]])</f>
        <v>2285226.3215000001</v>
      </c>
    </row>
    <row r="40" spans="1:46" ht="12.75" customHeight="1" x14ac:dyDescent="0.25">
      <c r="A40" s="25">
        <f t="shared" si="0"/>
        <v>32</v>
      </c>
      <c r="B40" t="s">
        <v>92</v>
      </c>
      <c r="C40" t="b">
        <v>0</v>
      </c>
      <c r="D40">
        <v>130</v>
      </c>
      <c r="E40">
        <v>130</v>
      </c>
      <c r="F40" t="b">
        <v>0</v>
      </c>
      <c r="G40" t="s">
        <v>71</v>
      </c>
      <c r="H40" t="s">
        <v>149</v>
      </c>
      <c r="I40" s="26">
        <v>21167</v>
      </c>
      <c r="J40"/>
      <c r="K40" t="s">
        <v>73</v>
      </c>
      <c r="L40" t="s">
        <v>85</v>
      </c>
      <c r="M40" s="27">
        <v>0</v>
      </c>
      <c r="N40" s="28">
        <v>14</v>
      </c>
      <c r="O40" s="29" t="str">
        <f>IF(Table_2021_CIP[[#This Row],[Column2]]&lt;10,"A",IF(Table_2021_CIP[[#This Row],[Column2]]&gt;19,"C","B"))</f>
        <v>B</v>
      </c>
      <c r="P40" t="s">
        <v>150</v>
      </c>
      <c r="Q40" s="30"/>
      <c r="R40" s="30">
        <v>0</v>
      </c>
      <c r="S40" s="30">
        <v>0</v>
      </c>
      <c r="T40" s="30">
        <v>20000</v>
      </c>
      <c r="U40" s="30"/>
      <c r="V40" s="30"/>
      <c r="W40" s="30"/>
      <c r="X40" s="30"/>
      <c r="Y40" s="30">
        <v>20000</v>
      </c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>
        <f>Table_2021_CIP[[#This Row],[TotalYR1]]+S40</f>
        <v>0</v>
      </c>
      <c r="AR40" s="30">
        <f>SUM(Table_2021_CIP[[#This Row],[TotalYR1]:[32-33]])</f>
        <v>40000</v>
      </c>
      <c r="AS40" s="30">
        <f>SUM(Table_2021_CIP[[#This Row],[TotalYR1]:[47-48]])</f>
        <v>40000</v>
      </c>
      <c r="AT40" s="24">
        <f>SUM(Table_2021_CIP[[#This Row],[22-23]:[47-48]])</f>
        <v>40000</v>
      </c>
    </row>
    <row r="41" spans="1:46" ht="12.75" customHeight="1" x14ac:dyDescent="0.25">
      <c r="A41" s="25">
        <f t="shared" si="0"/>
        <v>33</v>
      </c>
      <c r="B41" t="s">
        <v>81</v>
      </c>
      <c r="C41" t="b">
        <v>0</v>
      </c>
      <c r="D41">
        <v>220</v>
      </c>
      <c r="E41">
        <v>220</v>
      </c>
      <c r="F41" t="b">
        <v>0</v>
      </c>
      <c r="G41" t="s">
        <v>107</v>
      </c>
      <c r="H41" t="s">
        <v>151</v>
      </c>
      <c r="I41" s="26">
        <v>21174</v>
      </c>
      <c r="J41"/>
      <c r="K41" t="s">
        <v>73</v>
      </c>
      <c r="L41" t="s">
        <v>85</v>
      </c>
      <c r="M41" s="27">
        <v>0</v>
      </c>
      <c r="N41" s="28">
        <v>1</v>
      </c>
      <c r="O41" s="29" t="str">
        <f>IF(Table_2021_CIP[[#This Row],[Column2]]&lt;10,"A",IF(Table_2021_CIP[[#This Row],[Column2]]&gt;19,"C","B"))</f>
        <v>A</v>
      </c>
      <c r="P41" t="s">
        <v>152</v>
      </c>
      <c r="Q41" s="30">
        <v>30000</v>
      </c>
      <c r="R41" s="30">
        <v>35000</v>
      </c>
      <c r="S41" s="30">
        <v>35000</v>
      </c>
      <c r="T41" s="30">
        <v>35000</v>
      </c>
      <c r="U41" s="30">
        <v>35000</v>
      </c>
      <c r="V41" s="30">
        <v>35000</v>
      </c>
      <c r="W41" s="30">
        <v>35000</v>
      </c>
      <c r="X41" s="30">
        <v>35000</v>
      </c>
      <c r="Y41" s="30">
        <v>35000</v>
      </c>
      <c r="Z41" s="30">
        <v>35000</v>
      </c>
      <c r="AA41" s="30">
        <v>35000</v>
      </c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>
        <f>Table_2021_CIP[[#This Row],[TotalYR1]]+S41</f>
        <v>70000</v>
      </c>
      <c r="AR41" s="30">
        <f>SUM(Table_2021_CIP[[#This Row],[TotalYR1]:[32-33]])</f>
        <v>350000</v>
      </c>
      <c r="AS41" s="30">
        <f>SUM(Table_2021_CIP[[#This Row],[TotalYR1]:[47-48]])</f>
        <v>350000</v>
      </c>
      <c r="AT41" s="24">
        <f>SUM(Table_2021_CIP[[#This Row],[22-23]:[47-48]])</f>
        <v>380000</v>
      </c>
    </row>
    <row r="42" spans="1:46" ht="12.75" customHeight="1" x14ac:dyDescent="0.25">
      <c r="A42" s="25">
        <f t="shared" si="0"/>
        <v>34</v>
      </c>
      <c r="B42" t="s">
        <v>81</v>
      </c>
      <c r="C42" t="b">
        <v>0</v>
      </c>
      <c r="D42">
        <v>130</v>
      </c>
      <c r="E42">
        <v>130</v>
      </c>
      <c r="F42" t="b">
        <v>0</v>
      </c>
      <c r="G42" t="s">
        <v>107</v>
      </c>
      <c r="H42" t="s">
        <v>153</v>
      </c>
      <c r="I42" s="26">
        <v>21191</v>
      </c>
      <c r="J42" t="s">
        <v>154</v>
      </c>
      <c r="K42" t="s">
        <v>73</v>
      </c>
      <c r="L42" t="s">
        <v>85</v>
      </c>
      <c r="M42" s="27">
        <v>0.22600000000000001</v>
      </c>
      <c r="N42" s="28">
        <v>10</v>
      </c>
      <c r="O42" s="29" t="str">
        <f>IF(Table_2021_CIP[[#This Row],[Column2]]&lt;10,"A",IF(Table_2021_CIP[[#This Row],[Column2]]&gt;19,"C","B"))</f>
        <v>B</v>
      </c>
      <c r="P42" t="s">
        <v>155</v>
      </c>
      <c r="Q42" s="30">
        <v>1050000</v>
      </c>
      <c r="R42" s="30">
        <v>0</v>
      </c>
      <c r="S42" s="30">
        <v>0</v>
      </c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>
        <f>Table_2021_CIP[[#This Row],[TotalYR1]]+S42</f>
        <v>0</v>
      </c>
      <c r="AR42" s="30">
        <f>SUM(Table_2021_CIP[[#This Row],[TotalYR1]:[32-33]])</f>
        <v>0</v>
      </c>
      <c r="AS42" s="30">
        <f>SUM(Table_2021_CIP[[#This Row],[TotalYR1]:[47-48]])</f>
        <v>0</v>
      </c>
      <c r="AT42" s="24">
        <f>SUM(Table_2021_CIP[[#This Row],[22-23]:[47-48]])</f>
        <v>1050000</v>
      </c>
    </row>
    <row r="43" spans="1:46" ht="12.75" customHeight="1" x14ac:dyDescent="0.25">
      <c r="A43" s="25">
        <f t="shared" si="0"/>
        <v>35</v>
      </c>
      <c r="B43" t="s">
        <v>81</v>
      </c>
      <c r="C43" t="b">
        <v>0</v>
      </c>
      <c r="D43">
        <v>130</v>
      </c>
      <c r="E43">
        <v>130</v>
      </c>
      <c r="F43" t="b">
        <v>0</v>
      </c>
      <c r="G43" t="s">
        <v>156</v>
      </c>
      <c r="H43" t="s">
        <v>157</v>
      </c>
      <c r="I43" s="26">
        <v>21192</v>
      </c>
      <c r="J43" t="s">
        <v>154</v>
      </c>
      <c r="K43" t="s">
        <v>73</v>
      </c>
      <c r="L43" t="s">
        <v>85</v>
      </c>
      <c r="M43" s="27">
        <v>0.22600000000000001</v>
      </c>
      <c r="N43" s="28">
        <v>1</v>
      </c>
      <c r="O43" s="29" t="str">
        <f>IF(Table_2021_CIP[[#This Row],[Column2]]&lt;10,"A",IF(Table_2021_CIP[[#This Row],[Column2]]&gt;19,"C","B"))</f>
        <v>A</v>
      </c>
      <c r="P43" t="s">
        <v>158</v>
      </c>
      <c r="Q43" s="30">
        <f>462105.39+1500000</f>
        <v>1962105.3900000001</v>
      </c>
      <c r="R43" s="30">
        <f>8304342.5506-6000000</f>
        <v>2304342.5505999997</v>
      </c>
      <c r="S43" s="30">
        <f>(16378050.4057/2)-3000000-2000000</f>
        <v>3189025.20285</v>
      </c>
      <c r="T43" s="30">
        <f>92440.49+8189025.2-2000000</f>
        <v>6281465.6900000004</v>
      </c>
      <c r="U43" s="30">
        <f>7000000+2000000</f>
        <v>9000000</v>
      </c>
      <c r="V43" s="30">
        <v>2000000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/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f>Table_2021_CIP[[#This Row],[TotalYR1]]+S43</f>
        <v>5493367.7534499997</v>
      </c>
      <c r="AR43" s="30">
        <f>SUM(Table_2021_CIP[[#This Row],[TotalYR1]:[32-33]])</f>
        <v>22774833.44345</v>
      </c>
      <c r="AS43" s="30">
        <f>SUM(Table_2021_CIP[[#This Row],[TotalYR1]:[47-48]])</f>
        <v>22774833.44345</v>
      </c>
      <c r="AT43" s="24">
        <f>SUM(Table_2021_CIP[[#This Row],[22-23]:[47-48]])</f>
        <v>24736938.833450001</v>
      </c>
    </row>
    <row r="44" spans="1:46" ht="12.75" customHeight="1" x14ac:dyDescent="0.25">
      <c r="A44" s="25">
        <f t="shared" si="0"/>
        <v>36</v>
      </c>
      <c r="B44" t="s">
        <v>81</v>
      </c>
      <c r="C44" t="b">
        <v>0</v>
      </c>
      <c r="D44">
        <v>253</v>
      </c>
      <c r="E44">
        <v>130</v>
      </c>
      <c r="F44" t="b">
        <v>0</v>
      </c>
      <c r="G44" t="s">
        <v>107</v>
      </c>
      <c r="H44" t="s">
        <v>159</v>
      </c>
      <c r="I44" s="26">
        <v>21197</v>
      </c>
      <c r="J44"/>
      <c r="K44" t="s">
        <v>73</v>
      </c>
      <c r="L44" t="s">
        <v>85</v>
      </c>
      <c r="M44" s="27">
        <v>0.22600000000000001</v>
      </c>
      <c r="N44" s="28">
        <v>16</v>
      </c>
      <c r="O44" s="29" t="str">
        <f>IF(Table_2021_CIP[[#This Row],[Column2]]&lt;10,"A",IF(Table_2021_CIP[[#This Row],[Column2]]&gt;19,"C","B"))</f>
        <v>B</v>
      </c>
      <c r="P44" t="s">
        <v>160</v>
      </c>
      <c r="Q44" s="30">
        <v>15000</v>
      </c>
      <c r="R44" s="30">
        <v>237580.03200000001</v>
      </c>
      <c r="S44" s="30">
        <v>0</v>
      </c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>
        <f>Table_2021_CIP[[#This Row],[TotalYR1]]+S44</f>
        <v>237580.03200000001</v>
      </c>
      <c r="AR44" s="30">
        <f>SUM(Table_2021_CIP[[#This Row],[TotalYR1]:[32-33]])</f>
        <v>237580.03200000001</v>
      </c>
      <c r="AS44" s="30">
        <f>SUM(Table_2021_CIP[[#This Row],[TotalYR1]:[47-48]])</f>
        <v>237580.03200000001</v>
      </c>
      <c r="AT44" s="24">
        <f>SUM(Table_2021_CIP[[#This Row],[22-23]:[47-48]])</f>
        <v>252580.03200000001</v>
      </c>
    </row>
    <row r="45" spans="1:46" ht="12.75" customHeight="1" x14ac:dyDescent="0.25">
      <c r="A45" s="25">
        <f t="shared" si="0"/>
        <v>37</v>
      </c>
      <c r="B45" t="s">
        <v>81</v>
      </c>
      <c r="C45" t="b">
        <v>0</v>
      </c>
      <c r="D45">
        <v>253</v>
      </c>
      <c r="E45">
        <v>130</v>
      </c>
      <c r="F45" t="b">
        <v>0</v>
      </c>
      <c r="G45" t="s">
        <v>107</v>
      </c>
      <c r="H45" t="s">
        <v>161</v>
      </c>
      <c r="I45" s="26">
        <v>21206</v>
      </c>
      <c r="J45"/>
      <c r="K45" t="s">
        <v>73</v>
      </c>
      <c r="L45" t="s">
        <v>85</v>
      </c>
      <c r="M45" s="27">
        <v>0</v>
      </c>
      <c r="N45" s="28">
        <v>10</v>
      </c>
      <c r="O45" s="29" t="str">
        <f>IF(Table_2021_CIP[[#This Row],[Column2]]&lt;10,"A",IF(Table_2021_CIP[[#This Row],[Column2]]&gt;19,"C","B"))</f>
        <v>B</v>
      </c>
      <c r="P45" t="s">
        <v>162</v>
      </c>
      <c r="Q45" s="30">
        <v>579000</v>
      </c>
      <c r="R45" s="30">
        <v>915890.63899999997</v>
      </c>
      <c r="S45" s="30">
        <v>0</v>
      </c>
      <c r="T45" s="30">
        <v>0</v>
      </c>
      <c r="U45" s="30">
        <v>816000</v>
      </c>
      <c r="V45" s="30">
        <v>1395000</v>
      </c>
      <c r="W45" s="30">
        <v>816000</v>
      </c>
      <c r="X45" s="30">
        <v>1395000</v>
      </c>
      <c r="Y45" s="30">
        <v>816000</v>
      </c>
      <c r="Z45" s="30">
        <v>1395000</v>
      </c>
      <c r="AA45" s="30">
        <v>816000</v>
      </c>
      <c r="AB45" s="30">
        <v>1395000</v>
      </c>
      <c r="AC45" s="30">
        <v>816000</v>
      </c>
      <c r="AD45" s="30">
        <v>1395000</v>
      </c>
      <c r="AE45" s="30">
        <v>816000</v>
      </c>
      <c r="AF45" s="30">
        <v>1395000</v>
      </c>
      <c r="AG45" s="30">
        <v>816000</v>
      </c>
      <c r="AH45" s="30">
        <v>1395000</v>
      </c>
      <c r="AI45" s="30">
        <v>816000</v>
      </c>
      <c r="AJ45" s="30">
        <v>1395000</v>
      </c>
      <c r="AK45" s="30">
        <v>816000</v>
      </c>
      <c r="AL45" s="30">
        <v>1395000</v>
      </c>
      <c r="AM45" s="30">
        <v>816000</v>
      </c>
      <c r="AN45" s="30">
        <v>1395000</v>
      </c>
      <c r="AO45" s="30">
        <v>816000</v>
      </c>
      <c r="AP45" s="30">
        <v>1395000</v>
      </c>
      <c r="AQ45" s="30">
        <f>Table_2021_CIP[[#This Row],[TotalYR1]]+S45</f>
        <v>915890.63899999997</v>
      </c>
      <c r="AR45" s="30">
        <f>SUM(Table_2021_CIP[[#This Row],[TotalYR1]:[32-33]])</f>
        <v>8364890.6390000004</v>
      </c>
      <c r="AS45" s="30">
        <f>SUM(Table_2021_CIP[[#This Row],[TotalYR1]:[47-48]])</f>
        <v>25236890.638999999</v>
      </c>
      <c r="AT45" s="24">
        <f>SUM(Table_2021_CIP[[#This Row],[22-23]:[47-48]])</f>
        <v>25815890.638999999</v>
      </c>
    </row>
    <row r="46" spans="1:46" ht="12.75" customHeight="1" x14ac:dyDescent="0.25">
      <c r="A46" s="25">
        <f t="shared" si="0"/>
        <v>38</v>
      </c>
      <c r="B46" t="s">
        <v>81</v>
      </c>
      <c r="C46" t="b">
        <v>0</v>
      </c>
      <c r="D46">
        <v>130</v>
      </c>
      <c r="E46">
        <v>130</v>
      </c>
      <c r="F46" t="b">
        <v>0</v>
      </c>
      <c r="G46" t="s">
        <v>107</v>
      </c>
      <c r="H46" t="s">
        <v>163</v>
      </c>
      <c r="I46" s="26">
        <v>21212</v>
      </c>
      <c r="J46" t="s">
        <v>154</v>
      </c>
      <c r="K46" t="s">
        <v>73</v>
      </c>
      <c r="L46" t="s">
        <v>85</v>
      </c>
      <c r="M46" s="27">
        <v>0.22600000000000001</v>
      </c>
      <c r="N46" s="28">
        <v>16</v>
      </c>
      <c r="O46" s="29" t="str">
        <f>IF(Table_2021_CIP[[#This Row],[Column2]]&lt;10,"A",IF(Table_2021_CIP[[#This Row],[Column2]]&gt;19,"C","B"))</f>
        <v>B</v>
      </c>
      <c r="P46" t="s">
        <v>164</v>
      </c>
      <c r="Q46" s="30">
        <v>75</v>
      </c>
      <c r="R46" s="30">
        <f>(11719460.2554/2)-3500000</f>
        <v>2359730.1277000001</v>
      </c>
      <c r="S46" s="30">
        <f>5022625.8275-3000000</f>
        <v>2022625.8274999997</v>
      </c>
      <c r="T46" s="30">
        <f>5859730.13</f>
        <v>5859730.1299999999</v>
      </c>
      <c r="U46" s="30">
        <f>4000000+2500000+2000000</f>
        <v>8500000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>
        <f>Table_2021_CIP[[#This Row],[TotalYR1]]+S46</f>
        <v>4382355.9551999997</v>
      </c>
      <c r="AR46" s="30">
        <f>SUM(Table_2021_CIP[[#This Row],[TotalYR1]:[32-33]])</f>
        <v>18742086.085200001</v>
      </c>
      <c r="AS46" s="30">
        <f>SUM(Table_2021_CIP[[#This Row],[TotalYR1]:[47-48]])</f>
        <v>18742086.085200001</v>
      </c>
      <c r="AT46" s="24">
        <f>SUM(Table_2021_CIP[[#This Row],[22-23]:[47-48]])</f>
        <v>18742161.085200001</v>
      </c>
    </row>
    <row r="47" spans="1:46" ht="12.75" customHeight="1" x14ac:dyDescent="0.25">
      <c r="A47" s="25">
        <f t="shared" si="0"/>
        <v>39</v>
      </c>
      <c r="B47" t="s">
        <v>81</v>
      </c>
      <c r="C47" t="b">
        <v>0</v>
      </c>
      <c r="D47">
        <v>240</v>
      </c>
      <c r="E47">
        <v>240</v>
      </c>
      <c r="F47" t="b">
        <v>0</v>
      </c>
      <c r="G47" t="s">
        <v>165</v>
      </c>
      <c r="H47" t="s">
        <v>166</v>
      </c>
      <c r="I47" s="26">
        <v>21220</v>
      </c>
      <c r="J47"/>
      <c r="K47" t="s">
        <v>73</v>
      </c>
      <c r="L47" t="s">
        <v>85</v>
      </c>
      <c r="M47" s="27">
        <v>0</v>
      </c>
      <c r="N47" s="28">
        <v>1</v>
      </c>
      <c r="O47" s="29" t="str">
        <f>IF(Table_2021_CIP[[#This Row],[Column2]]&lt;10,"A",IF(Table_2021_CIP[[#This Row],[Column2]]&gt;19,"C","B"))</f>
        <v>A</v>
      </c>
      <c r="P47" t="s">
        <v>167</v>
      </c>
      <c r="Q47" s="30">
        <v>0</v>
      </c>
      <c r="R47" s="30">
        <v>0</v>
      </c>
      <c r="S47" s="30">
        <v>153120</v>
      </c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>
        <f>Table_2021_CIP[[#This Row],[TotalYR1]]+S47</f>
        <v>153120</v>
      </c>
      <c r="AR47" s="30">
        <f>SUM(Table_2021_CIP[[#This Row],[TotalYR1]:[32-33]])</f>
        <v>153120</v>
      </c>
      <c r="AS47" s="30">
        <f>SUM(Table_2021_CIP[[#This Row],[TotalYR1]:[47-48]])</f>
        <v>153120</v>
      </c>
      <c r="AT47" s="24">
        <f>SUM(Table_2021_CIP[[#This Row],[22-23]:[47-48]])</f>
        <v>153120</v>
      </c>
    </row>
    <row r="48" spans="1:46" ht="12.75" customHeight="1" x14ac:dyDescent="0.25">
      <c r="A48" s="17">
        <f t="shared" si="0"/>
        <v>40</v>
      </c>
      <c r="B48" s="18" t="s">
        <v>81</v>
      </c>
      <c r="C48" s="18" t="b">
        <v>1</v>
      </c>
      <c r="D48" s="18">
        <v>220</v>
      </c>
      <c r="E48" s="18">
        <v>220</v>
      </c>
      <c r="F48" s="18" t="b">
        <v>0</v>
      </c>
      <c r="G48" s="18" t="s">
        <v>107</v>
      </c>
      <c r="H48" s="18" t="s">
        <v>168</v>
      </c>
      <c r="I48" s="19">
        <v>21231</v>
      </c>
      <c r="J48" s="18" t="s">
        <v>126</v>
      </c>
      <c r="K48" s="18" t="s">
        <v>73</v>
      </c>
      <c r="L48" s="18" t="s">
        <v>74</v>
      </c>
      <c r="M48" s="20">
        <v>0</v>
      </c>
      <c r="N48" s="21">
        <v>11</v>
      </c>
      <c r="O48" s="22" t="str">
        <f>IF(Table_2021_CIP[[#This Row],[Column2]]&lt;10,"A",IF(Table_2021_CIP[[#This Row],[Column2]]&gt;19,"C","B"))</f>
        <v>B</v>
      </c>
      <c r="P48" s="18" t="s">
        <v>169</v>
      </c>
      <c r="Q48" s="23">
        <v>81400</v>
      </c>
      <c r="R48" s="23">
        <v>102340</v>
      </c>
      <c r="S48" s="23">
        <v>102340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>
        <f>Table_2021_CIP[[#This Row],[TotalYR1]]+S48</f>
        <v>204680</v>
      </c>
      <c r="AR48" s="23">
        <f>SUM(Table_2021_CIP[[#This Row],[TotalYR1]:[32-33]])</f>
        <v>204680</v>
      </c>
      <c r="AS48" s="23">
        <f>SUM(Table_2021_CIP[[#This Row],[TotalYR1]:[47-48]])</f>
        <v>204680</v>
      </c>
      <c r="AT48" s="24">
        <f>SUM(Table_2021_CIP[[#This Row],[22-23]:[47-48]])</f>
        <v>286080</v>
      </c>
    </row>
    <row r="49" spans="1:46" ht="12.75" customHeight="1" x14ac:dyDescent="0.25">
      <c r="A49" s="25">
        <f t="shared" si="0"/>
        <v>41</v>
      </c>
      <c r="B49" t="s">
        <v>81</v>
      </c>
      <c r="C49" t="b">
        <v>0</v>
      </c>
      <c r="D49">
        <v>130</v>
      </c>
      <c r="E49">
        <v>130</v>
      </c>
      <c r="F49" t="b">
        <v>1</v>
      </c>
      <c r="G49" t="s">
        <v>107</v>
      </c>
      <c r="H49" t="s">
        <v>170</v>
      </c>
      <c r="I49" s="26">
        <v>21235</v>
      </c>
      <c r="J49" t="s">
        <v>154</v>
      </c>
      <c r="K49" t="s">
        <v>73</v>
      </c>
      <c r="L49" t="s">
        <v>85</v>
      </c>
      <c r="M49" s="27">
        <v>0.22600000000000001</v>
      </c>
      <c r="N49" s="28">
        <v>1</v>
      </c>
      <c r="O49" s="29" t="str">
        <f>IF(Table_2021_CIP[[#This Row],[Column2]]&lt;10,"A",IF(Table_2021_CIP[[#This Row],[Column2]]&gt;19,"C","B"))</f>
        <v>A</v>
      </c>
      <c r="P49" t="s">
        <v>171</v>
      </c>
      <c r="Q49" s="30">
        <v>100000</v>
      </c>
      <c r="R49" s="30">
        <f>2460880-1500000</f>
        <v>960880</v>
      </c>
      <c r="S49" s="30">
        <f>4685376-2000000</f>
        <v>2685376</v>
      </c>
      <c r="T49" s="30">
        <f>3500000</f>
        <v>3500000</v>
      </c>
      <c r="U49" s="30">
        <v>1000000</v>
      </c>
      <c r="V49" s="30">
        <f>4027680.22-1000000</f>
        <v>3027680.22</v>
      </c>
      <c r="W49" s="30">
        <v>11197901</v>
      </c>
      <c r="X49" s="30">
        <v>11197901</v>
      </c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>
        <f>Table_2021_CIP[[#This Row],[TotalYR1]]+S49</f>
        <v>3646256</v>
      </c>
      <c r="AR49" s="30">
        <f>SUM(Table_2021_CIP[[#This Row],[TotalYR1]:[32-33]])</f>
        <v>33569738.219999999</v>
      </c>
      <c r="AS49" s="30">
        <f>SUM(Table_2021_CIP[[#This Row],[TotalYR1]:[47-48]])</f>
        <v>33569738.219999999</v>
      </c>
      <c r="AT49" s="24">
        <f>SUM(Table_2021_CIP[[#This Row],[22-23]:[47-48]])</f>
        <v>33669738.219999999</v>
      </c>
    </row>
    <row r="50" spans="1:46" ht="12.75" customHeight="1" x14ac:dyDescent="0.25">
      <c r="A50" s="25">
        <f t="shared" si="0"/>
        <v>42</v>
      </c>
      <c r="B50" t="s">
        <v>81</v>
      </c>
      <c r="C50" t="b">
        <v>0</v>
      </c>
      <c r="D50">
        <v>130</v>
      </c>
      <c r="E50">
        <v>130</v>
      </c>
      <c r="F50" t="b">
        <v>0</v>
      </c>
      <c r="G50" t="s">
        <v>101</v>
      </c>
      <c r="H50" t="s">
        <v>172</v>
      </c>
      <c r="I50" s="26">
        <v>21240</v>
      </c>
      <c r="J50"/>
      <c r="K50" t="s">
        <v>73</v>
      </c>
      <c r="L50" t="s">
        <v>85</v>
      </c>
      <c r="M50" s="27">
        <v>0.22600000000000001</v>
      </c>
      <c r="N50" s="28">
        <v>16</v>
      </c>
      <c r="O50" s="29" t="str">
        <f>IF(Table_2021_CIP[[#This Row],[Column2]]&lt;10,"A",IF(Table_2021_CIP[[#This Row],[Column2]]&gt;19,"C","B"))</f>
        <v>B</v>
      </c>
      <c r="P50" t="s">
        <v>173</v>
      </c>
      <c r="Q50" s="30">
        <v>10000</v>
      </c>
      <c r="R50" s="30">
        <v>253119.99359999999</v>
      </c>
      <c r="S50" s="30">
        <v>157711.95199999999</v>
      </c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>
        <f>Table_2021_CIP[[#This Row],[TotalYR1]]+S50</f>
        <v>410831.94559999998</v>
      </c>
      <c r="AR50" s="30">
        <f>SUM(Table_2021_CIP[[#This Row],[TotalYR1]:[32-33]])</f>
        <v>410831.94559999998</v>
      </c>
      <c r="AS50" s="30">
        <f>SUM(Table_2021_CIP[[#This Row],[TotalYR1]:[47-48]])</f>
        <v>410831.94559999998</v>
      </c>
      <c r="AT50" s="24">
        <f>SUM(Table_2021_CIP[[#This Row],[22-23]:[47-48]])</f>
        <v>420831.94559999998</v>
      </c>
    </row>
    <row r="51" spans="1:46" ht="12.75" customHeight="1" x14ac:dyDescent="0.25">
      <c r="A51" s="25">
        <f t="shared" si="0"/>
        <v>43</v>
      </c>
      <c r="B51" t="s">
        <v>81</v>
      </c>
      <c r="C51" t="b">
        <v>0</v>
      </c>
      <c r="D51">
        <v>253</v>
      </c>
      <c r="E51">
        <v>130</v>
      </c>
      <c r="F51" t="b">
        <v>0</v>
      </c>
      <c r="G51" t="s">
        <v>107</v>
      </c>
      <c r="H51" t="s">
        <v>174</v>
      </c>
      <c r="I51" s="26">
        <v>21247</v>
      </c>
      <c r="J51"/>
      <c r="K51" t="s">
        <v>73</v>
      </c>
      <c r="L51" t="s">
        <v>85</v>
      </c>
      <c r="M51" s="27">
        <v>0.22600000000000001</v>
      </c>
      <c r="N51" s="28">
        <v>16</v>
      </c>
      <c r="O51" s="29" t="str">
        <f>IF(Table_2021_CIP[[#This Row],[Column2]]&lt;10,"A",IF(Table_2021_CIP[[#This Row],[Column2]]&gt;19,"C","B"))</f>
        <v>B</v>
      </c>
      <c r="P51" t="s">
        <v>175</v>
      </c>
      <c r="Q51" s="30">
        <v>5437350</v>
      </c>
      <c r="R51" s="30">
        <v>2584877.96</v>
      </c>
      <c r="S51" s="30">
        <v>0</v>
      </c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>
        <f>Table_2021_CIP[[#This Row],[TotalYR1]]+S51</f>
        <v>2584877.96</v>
      </c>
      <c r="AR51" s="30">
        <f>SUM(Table_2021_CIP[[#This Row],[TotalYR1]:[32-33]])</f>
        <v>2584877.96</v>
      </c>
      <c r="AS51" s="30">
        <f>SUM(Table_2021_CIP[[#This Row],[TotalYR1]:[47-48]])</f>
        <v>2584877.96</v>
      </c>
      <c r="AT51" s="24">
        <f>SUM(Table_2021_CIP[[#This Row],[22-23]:[47-48]])</f>
        <v>8022227.96</v>
      </c>
    </row>
    <row r="52" spans="1:46" ht="12.75" customHeight="1" x14ac:dyDescent="0.25">
      <c r="A52" s="25">
        <f t="shared" si="0"/>
        <v>44</v>
      </c>
      <c r="B52" t="s">
        <v>101</v>
      </c>
      <c r="C52" t="b">
        <v>0</v>
      </c>
      <c r="D52">
        <v>253</v>
      </c>
      <c r="E52">
        <v>253</v>
      </c>
      <c r="F52" t="b">
        <v>0</v>
      </c>
      <c r="G52" t="s">
        <v>107</v>
      </c>
      <c r="H52" t="s">
        <v>176</v>
      </c>
      <c r="I52" s="26">
        <v>21249</v>
      </c>
      <c r="J52"/>
      <c r="K52" t="s">
        <v>73</v>
      </c>
      <c r="L52" t="s">
        <v>85</v>
      </c>
      <c r="M52" s="27">
        <v>0</v>
      </c>
      <c r="N52" s="28">
        <v>6</v>
      </c>
      <c r="O52" s="29" t="str">
        <f>IF(Table_2021_CIP[[#This Row],[Column2]]&lt;10,"A",IF(Table_2021_CIP[[#This Row],[Column2]]&gt;19,"C","B"))</f>
        <v>A</v>
      </c>
      <c r="P52" t="s">
        <v>177</v>
      </c>
      <c r="Q52" s="30">
        <v>9450</v>
      </c>
      <c r="R52" s="30">
        <v>0</v>
      </c>
      <c r="S52" s="30">
        <v>0</v>
      </c>
      <c r="T52" s="30"/>
      <c r="U52" s="30"/>
      <c r="V52" s="30"/>
      <c r="W52" s="30">
        <v>53500</v>
      </c>
      <c r="X52" s="30">
        <v>42200</v>
      </c>
      <c r="Y52" s="30"/>
      <c r="Z52" s="30">
        <v>106000</v>
      </c>
      <c r="AA52" s="30"/>
      <c r="AB52" s="30"/>
      <c r="AC52" s="30">
        <v>31000</v>
      </c>
      <c r="AD52" s="30">
        <v>53500</v>
      </c>
      <c r="AE52" s="30"/>
      <c r="AF52" s="30"/>
      <c r="AG52" s="30"/>
      <c r="AH52" s="30"/>
      <c r="AI52" s="30"/>
      <c r="AJ52" s="30"/>
      <c r="AK52" s="30"/>
      <c r="AL52" s="30">
        <v>106000</v>
      </c>
      <c r="AM52" s="30"/>
      <c r="AN52" s="30"/>
      <c r="AO52" s="30"/>
      <c r="AP52" s="30"/>
      <c r="AQ52" s="30">
        <f>Table_2021_CIP[[#This Row],[TotalYR1]]+S52</f>
        <v>0</v>
      </c>
      <c r="AR52" s="30">
        <f>SUM(Table_2021_CIP[[#This Row],[TotalYR1]:[32-33]])</f>
        <v>201700</v>
      </c>
      <c r="AS52" s="30">
        <f>SUM(Table_2021_CIP[[#This Row],[TotalYR1]:[47-48]])</f>
        <v>392200</v>
      </c>
      <c r="AT52" s="24">
        <f>SUM(Table_2021_CIP[[#This Row],[22-23]:[47-48]])</f>
        <v>401650</v>
      </c>
    </row>
    <row r="53" spans="1:46" ht="12.75" customHeight="1" x14ac:dyDescent="0.25">
      <c r="A53" s="25">
        <f t="shared" si="0"/>
        <v>45</v>
      </c>
      <c r="B53" t="s">
        <v>101</v>
      </c>
      <c r="C53" t="b">
        <v>0</v>
      </c>
      <c r="D53">
        <v>253</v>
      </c>
      <c r="E53">
        <v>130</v>
      </c>
      <c r="F53" t="b">
        <v>0</v>
      </c>
      <c r="G53" t="s">
        <v>165</v>
      </c>
      <c r="H53" t="s">
        <v>178</v>
      </c>
      <c r="I53" s="26">
        <v>21266</v>
      </c>
      <c r="J53"/>
      <c r="K53" t="s">
        <v>73</v>
      </c>
      <c r="L53" t="s">
        <v>85</v>
      </c>
      <c r="M53" s="27">
        <v>0.10000000149011599</v>
      </c>
      <c r="N53" s="28">
        <v>10</v>
      </c>
      <c r="O53" s="29" t="str">
        <f>IF(Table_2021_CIP[[#This Row],[Column2]]&lt;10,"A",IF(Table_2021_CIP[[#This Row],[Column2]]&gt;19,"C","B"))</f>
        <v>B</v>
      </c>
      <c r="P53" t="s">
        <v>179</v>
      </c>
      <c r="Q53" s="30">
        <v>1300000</v>
      </c>
      <c r="R53" s="30">
        <v>1390248</v>
      </c>
      <c r="S53" s="30">
        <v>1398216</v>
      </c>
      <c r="T53" s="30">
        <v>1398216</v>
      </c>
      <c r="U53" s="30">
        <v>1398216</v>
      </c>
      <c r="V53" s="30">
        <v>500000</v>
      </c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>
        <f>Table_2021_CIP[[#This Row],[TotalYR1]]+S53</f>
        <v>2788464</v>
      </c>
      <c r="AR53" s="30">
        <f>SUM(Table_2021_CIP[[#This Row],[TotalYR1]:[32-33]])</f>
        <v>6084896</v>
      </c>
      <c r="AS53" s="30">
        <f>SUM(Table_2021_CIP[[#This Row],[TotalYR1]:[47-48]])</f>
        <v>6084896</v>
      </c>
      <c r="AT53" s="24">
        <f>SUM(Table_2021_CIP[[#This Row],[22-23]:[47-48]])</f>
        <v>7384896</v>
      </c>
    </row>
    <row r="54" spans="1:46" ht="12.75" customHeight="1" x14ac:dyDescent="0.25">
      <c r="A54" s="25">
        <f t="shared" si="0"/>
        <v>46</v>
      </c>
      <c r="B54" t="s">
        <v>180</v>
      </c>
      <c r="C54" t="b">
        <v>0</v>
      </c>
      <c r="D54">
        <v>140</v>
      </c>
      <c r="E54">
        <v>140</v>
      </c>
      <c r="F54" t="b">
        <v>0</v>
      </c>
      <c r="G54" t="s">
        <v>101</v>
      </c>
      <c r="H54" t="s">
        <v>181</v>
      </c>
      <c r="I54" s="26">
        <v>21271</v>
      </c>
      <c r="J54"/>
      <c r="K54" t="s">
        <v>73</v>
      </c>
      <c r="L54" t="s">
        <v>85</v>
      </c>
      <c r="M54" s="27">
        <v>0</v>
      </c>
      <c r="N54" s="28">
        <v>9</v>
      </c>
      <c r="O54" s="29" t="str">
        <f>IF(Table_2021_CIP[[#This Row],[Column2]]&lt;10,"A",IF(Table_2021_CIP[[#This Row],[Column2]]&gt;19,"C","B"))</f>
        <v>A</v>
      </c>
      <c r="P54" t="s">
        <v>182</v>
      </c>
      <c r="Q54" s="30">
        <v>80000</v>
      </c>
      <c r="R54" s="30">
        <v>80000</v>
      </c>
      <c r="S54" s="30">
        <v>0</v>
      </c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>
        <f>Table_2021_CIP[[#This Row],[TotalYR1]]+S54</f>
        <v>80000</v>
      </c>
      <c r="AR54" s="30">
        <f>SUM(Table_2021_CIP[[#This Row],[TotalYR1]:[32-33]])</f>
        <v>80000</v>
      </c>
      <c r="AS54" s="30">
        <f>SUM(Table_2021_CIP[[#This Row],[TotalYR1]:[47-48]])</f>
        <v>80000</v>
      </c>
      <c r="AT54" s="24">
        <f>SUM(Table_2021_CIP[[#This Row],[22-23]:[47-48]])</f>
        <v>160000</v>
      </c>
    </row>
    <row r="55" spans="1:46" ht="12.75" customHeight="1" x14ac:dyDescent="0.25">
      <c r="A55" s="25">
        <f t="shared" si="0"/>
        <v>47</v>
      </c>
      <c r="B55" t="s">
        <v>101</v>
      </c>
      <c r="C55" t="b">
        <v>0</v>
      </c>
      <c r="D55">
        <v>253</v>
      </c>
      <c r="E55">
        <v>253</v>
      </c>
      <c r="F55" t="b">
        <v>0</v>
      </c>
      <c r="G55" t="s">
        <v>165</v>
      </c>
      <c r="H55" t="s">
        <v>183</v>
      </c>
      <c r="I55" s="26">
        <v>21277</v>
      </c>
      <c r="J55"/>
      <c r="K55" t="s">
        <v>73</v>
      </c>
      <c r="L55" t="s">
        <v>85</v>
      </c>
      <c r="M55" s="27">
        <v>0</v>
      </c>
      <c r="N55" s="28">
        <v>6</v>
      </c>
      <c r="O55" s="29" t="str">
        <f>IF(Table_2021_CIP[[#This Row],[Column2]]&lt;10,"A",IF(Table_2021_CIP[[#This Row],[Column2]]&gt;19,"C","B"))</f>
        <v>A</v>
      </c>
      <c r="P55" t="s">
        <v>184</v>
      </c>
      <c r="Q55" s="30">
        <v>75000</v>
      </c>
      <c r="R55" s="30">
        <v>100000</v>
      </c>
      <c r="S55" s="30">
        <v>50000</v>
      </c>
      <c r="T55" s="30">
        <v>206000</v>
      </c>
      <c r="U55" s="30">
        <v>206000</v>
      </c>
      <c r="V55" s="30">
        <v>103000</v>
      </c>
      <c r="W55" s="30"/>
      <c r="X55" s="30"/>
      <c r="Y55" s="30"/>
      <c r="Z55" s="30"/>
      <c r="AA55" s="30">
        <v>206000</v>
      </c>
      <c r="AB55" s="30">
        <v>206000</v>
      </c>
      <c r="AC55" s="30">
        <v>103000</v>
      </c>
      <c r="AD55" s="30"/>
      <c r="AE55" s="30"/>
      <c r="AF55" s="30"/>
      <c r="AG55" s="30"/>
      <c r="AH55" s="30">
        <v>206000</v>
      </c>
      <c r="AI55" s="30">
        <v>206000</v>
      </c>
      <c r="AJ55" s="30">
        <v>103000</v>
      </c>
      <c r="AK55" s="30"/>
      <c r="AL55" s="30"/>
      <c r="AM55" s="30"/>
      <c r="AN55" s="30">
        <v>206000</v>
      </c>
      <c r="AO55" s="30">
        <v>206000</v>
      </c>
      <c r="AP55" s="30">
        <v>103000</v>
      </c>
      <c r="AQ55" s="30">
        <f>Table_2021_CIP[[#This Row],[TotalYR1]]+S55</f>
        <v>150000</v>
      </c>
      <c r="AR55" s="30">
        <f>SUM(Table_2021_CIP[[#This Row],[TotalYR1]:[32-33]])</f>
        <v>871000</v>
      </c>
      <c r="AS55" s="30">
        <f>SUM(Table_2021_CIP[[#This Row],[TotalYR1]:[47-48]])</f>
        <v>2210000</v>
      </c>
      <c r="AT55" s="24">
        <f>SUM(Table_2021_CIP[[#This Row],[22-23]:[47-48]])</f>
        <v>2285000</v>
      </c>
    </row>
    <row r="56" spans="1:46" ht="12.75" customHeight="1" x14ac:dyDescent="0.25">
      <c r="A56" s="25">
        <f t="shared" si="0"/>
        <v>48</v>
      </c>
      <c r="B56" t="s">
        <v>101</v>
      </c>
      <c r="C56" t="b">
        <v>0</v>
      </c>
      <c r="D56">
        <v>253</v>
      </c>
      <c r="E56">
        <v>253</v>
      </c>
      <c r="F56" t="b">
        <v>0</v>
      </c>
      <c r="G56" t="s">
        <v>82</v>
      </c>
      <c r="H56" t="s">
        <v>185</v>
      </c>
      <c r="I56" s="26">
        <v>21278</v>
      </c>
      <c r="J56"/>
      <c r="K56" t="s">
        <v>73</v>
      </c>
      <c r="L56" t="s">
        <v>85</v>
      </c>
      <c r="M56" s="27">
        <v>0</v>
      </c>
      <c r="N56" s="28">
        <v>1</v>
      </c>
      <c r="O56" s="29" t="str">
        <f>IF(Table_2021_CIP[[#This Row],[Column2]]&lt;10,"A",IF(Table_2021_CIP[[#This Row],[Column2]]&gt;19,"C","B"))</f>
        <v>A</v>
      </c>
      <c r="P56" t="s">
        <v>186</v>
      </c>
      <c r="Q56" s="30"/>
      <c r="R56" s="30">
        <v>0</v>
      </c>
      <c r="S56" s="30">
        <v>0</v>
      </c>
      <c r="T56" s="30">
        <v>50000</v>
      </c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>
        <v>50000</v>
      </c>
      <c r="AJ56" s="30"/>
      <c r="AK56" s="30"/>
      <c r="AL56" s="30"/>
      <c r="AM56" s="30"/>
      <c r="AN56" s="30"/>
      <c r="AO56" s="30"/>
      <c r="AP56" s="30"/>
      <c r="AQ56" s="30">
        <f>Table_2021_CIP[[#This Row],[TotalYR1]]+S56</f>
        <v>0</v>
      </c>
      <c r="AR56" s="30">
        <f>SUM(Table_2021_CIP[[#This Row],[TotalYR1]:[32-33]])</f>
        <v>50000</v>
      </c>
      <c r="AS56" s="30">
        <f>SUM(Table_2021_CIP[[#This Row],[TotalYR1]:[47-48]])</f>
        <v>100000</v>
      </c>
      <c r="AT56" s="24">
        <f>SUM(Table_2021_CIP[[#This Row],[22-23]:[47-48]])</f>
        <v>100000</v>
      </c>
    </row>
    <row r="57" spans="1:46" ht="12.75" customHeight="1" x14ac:dyDescent="0.25">
      <c r="A57" s="25">
        <f t="shared" si="0"/>
        <v>49</v>
      </c>
      <c r="B57" t="s">
        <v>81</v>
      </c>
      <c r="C57" t="b">
        <v>0</v>
      </c>
      <c r="D57">
        <v>130</v>
      </c>
      <c r="E57">
        <v>130</v>
      </c>
      <c r="F57" t="b">
        <v>0</v>
      </c>
      <c r="G57" t="s">
        <v>156</v>
      </c>
      <c r="H57" t="s">
        <v>187</v>
      </c>
      <c r="I57" s="26">
        <v>21290</v>
      </c>
      <c r="J57" t="s">
        <v>147</v>
      </c>
      <c r="K57" t="s">
        <v>73</v>
      </c>
      <c r="L57" t="s">
        <v>85</v>
      </c>
      <c r="M57" s="27">
        <v>0.22600000000000001</v>
      </c>
      <c r="N57" s="28">
        <v>1</v>
      </c>
      <c r="O57" s="29" t="str">
        <f>IF(Table_2021_CIP[[#This Row],[Column2]]&lt;10,"A",IF(Table_2021_CIP[[#This Row],[Column2]]&gt;19,"C","B"))</f>
        <v>A</v>
      </c>
      <c r="P57" t="s">
        <v>188</v>
      </c>
      <c r="Q57" s="30">
        <v>804379.07</v>
      </c>
      <c r="R57" s="30">
        <v>208265.9718</v>
      </c>
      <c r="S57" s="30">
        <f>(27055023.2227/2)-5527511-5000000</f>
        <v>3000000.6113499999</v>
      </c>
      <c r="T57" s="30">
        <f>9157874.83-3000000-2000000</f>
        <v>4157874.83</v>
      </c>
      <c r="U57" s="30">
        <v>6157874.8300000001</v>
      </c>
      <c r="V57" s="30">
        <v>7000000</v>
      </c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>
        <f>Table_2021_CIP[[#This Row],[TotalYR1]]+S57</f>
        <v>3208266.5831499998</v>
      </c>
      <c r="AR57" s="30">
        <f>SUM(Table_2021_CIP[[#This Row],[TotalYR1]:[32-33]])</f>
        <v>20524016.24315</v>
      </c>
      <c r="AS57" s="30">
        <f>SUM(Table_2021_CIP[[#This Row],[TotalYR1]:[47-48]])</f>
        <v>20524016.24315</v>
      </c>
      <c r="AT57" s="24">
        <f>SUM(Table_2021_CIP[[#This Row],[22-23]:[47-48]])</f>
        <v>21328395.31315</v>
      </c>
    </row>
    <row r="58" spans="1:46" ht="12.75" customHeight="1" x14ac:dyDescent="0.25">
      <c r="A58" s="25">
        <f t="shared" si="0"/>
        <v>50</v>
      </c>
      <c r="B58" t="s">
        <v>81</v>
      </c>
      <c r="C58" t="b">
        <v>0</v>
      </c>
      <c r="D58">
        <v>130</v>
      </c>
      <c r="E58">
        <v>130</v>
      </c>
      <c r="F58" t="b">
        <v>0</v>
      </c>
      <c r="G58" t="s">
        <v>156</v>
      </c>
      <c r="H58" t="s">
        <v>189</v>
      </c>
      <c r="I58" s="26">
        <v>21292</v>
      </c>
      <c r="J58" t="s">
        <v>147</v>
      </c>
      <c r="K58" t="s">
        <v>73</v>
      </c>
      <c r="L58" t="s">
        <v>85</v>
      </c>
      <c r="M58" s="27">
        <v>0.22600000000000001</v>
      </c>
      <c r="N58" s="28">
        <v>1</v>
      </c>
      <c r="O58" s="29" t="str">
        <f>IF(Table_2021_CIP[[#This Row],[Column2]]&lt;10,"A",IF(Table_2021_CIP[[#This Row],[Column2]]&gt;19,"C","B"))</f>
        <v>A</v>
      </c>
      <c r="P58" t="s">
        <v>190</v>
      </c>
      <c r="Q58" s="30">
        <v>766137.21</v>
      </c>
      <c r="R58" s="30">
        <f>16368543.7894-6000000-2000000</f>
        <v>8368543.7894000001</v>
      </c>
      <c r="S58" s="30">
        <v>2544545.6053999998</v>
      </c>
      <c r="T58" s="30">
        <f>6000000+2000000</f>
        <v>8000000</v>
      </c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>
        <f>Table_2021_CIP[[#This Row],[TotalYR1]]+S58</f>
        <v>10913089.3948</v>
      </c>
      <c r="AR58" s="30">
        <f>SUM(Table_2021_CIP[[#This Row],[TotalYR1]:[32-33]])</f>
        <v>18913089.3948</v>
      </c>
      <c r="AS58" s="30">
        <f>SUM(Table_2021_CIP[[#This Row],[TotalYR1]:[47-48]])</f>
        <v>18913089.3948</v>
      </c>
      <c r="AT58" s="24">
        <f>SUM(Table_2021_CIP[[#This Row],[22-23]:[47-48]])</f>
        <v>19679226.604800001</v>
      </c>
    </row>
    <row r="59" spans="1:46" ht="12.75" customHeight="1" x14ac:dyDescent="0.25">
      <c r="A59" s="25">
        <f t="shared" si="0"/>
        <v>51</v>
      </c>
      <c r="B59" t="s">
        <v>81</v>
      </c>
      <c r="C59" t="b">
        <v>0</v>
      </c>
      <c r="D59">
        <v>240</v>
      </c>
      <c r="E59">
        <v>130</v>
      </c>
      <c r="F59" t="b">
        <v>0</v>
      </c>
      <c r="G59" t="s">
        <v>165</v>
      </c>
      <c r="H59" t="s">
        <v>191</v>
      </c>
      <c r="I59" s="26">
        <v>21299</v>
      </c>
      <c r="J59"/>
      <c r="K59" t="s">
        <v>73</v>
      </c>
      <c r="L59" t="s">
        <v>85</v>
      </c>
      <c r="M59" s="27">
        <v>0.10000000149011599</v>
      </c>
      <c r="N59" s="28">
        <v>6</v>
      </c>
      <c r="O59" s="29" t="str">
        <f>IF(Table_2021_CIP[[#This Row],[Column2]]&lt;10,"A",IF(Table_2021_CIP[[#This Row],[Column2]]&gt;19,"C","B"))</f>
        <v>A</v>
      </c>
      <c r="P59" t="s">
        <v>192</v>
      </c>
      <c r="Q59" s="30">
        <v>702000</v>
      </c>
      <c r="R59" s="30">
        <v>0</v>
      </c>
      <c r="S59" s="30">
        <v>0</v>
      </c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>
        <f>Table_2021_CIP[[#This Row],[TotalYR1]]+S59</f>
        <v>0</v>
      </c>
      <c r="AR59" s="30">
        <f>SUM(Table_2021_CIP[[#This Row],[TotalYR1]:[32-33]])</f>
        <v>0</v>
      </c>
      <c r="AS59" s="30">
        <f>SUM(Table_2021_CIP[[#This Row],[TotalYR1]:[47-48]])</f>
        <v>0</v>
      </c>
      <c r="AT59" s="24">
        <f>SUM(Table_2021_CIP[[#This Row],[22-23]:[47-48]])</f>
        <v>702000</v>
      </c>
    </row>
    <row r="60" spans="1:46" ht="12.75" customHeight="1" x14ac:dyDescent="0.25">
      <c r="A60" s="25">
        <f t="shared" si="0"/>
        <v>52</v>
      </c>
      <c r="B60" t="s">
        <v>92</v>
      </c>
      <c r="C60" t="b">
        <v>0</v>
      </c>
      <c r="D60">
        <v>750</v>
      </c>
      <c r="E60">
        <v>130</v>
      </c>
      <c r="F60" t="b">
        <v>0</v>
      </c>
      <c r="G60" t="s">
        <v>101</v>
      </c>
      <c r="H60" t="s">
        <v>193</v>
      </c>
      <c r="I60" s="26">
        <v>21304</v>
      </c>
      <c r="J60"/>
      <c r="K60" t="s">
        <v>73</v>
      </c>
      <c r="L60" t="s">
        <v>85</v>
      </c>
      <c r="M60" s="27">
        <v>0.22600000000000001</v>
      </c>
      <c r="N60" s="28">
        <v>14</v>
      </c>
      <c r="O60" s="29" t="str">
        <f>IF(Table_2021_CIP[[#This Row],[Column2]]&lt;10,"A",IF(Table_2021_CIP[[#This Row],[Column2]]&gt;19,"C","B"))</f>
        <v>B</v>
      </c>
      <c r="P60" t="s">
        <v>194</v>
      </c>
      <c r="Q60" s="30">
        <v>10000</v>
      </c>
      <c r="R60" s="30">
        <v>186023.24</v>
      </c>
      <c r="S60" s="30">
        <f>1782259.808/2</f>
        <v>891129.90399999998</v>
      </c>
      <c r="T60" s="30">
        <f>1750000-750000</f>
        <v>1000000</v>
      </c>
      <c r="U60" s="30">
        <f>891129.9</f>
        <v>891129.9</v>
      </c>
      <c r="V60" s="30">
        <v>750000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>
        <f>Table_2021_CIP[[#This Row],[TotalYR1]]+S60</f>
        <v>1077153.1439999999</v>
      </c>
      <c r="AR60" s="30">
        <f>SUM(Table_2021_CIP[[#This Row],[TotalYR1]:[32-33]])</f>
        <v>3718283.0439999998</v>
      </c>
      <c r="AS60" s="30">
        <f>SUM(Table_2021_CIP[[#This Row],[TotalYR1]:[47-48]])</f>
        <v>3718283.0439999998</v>
      </c>
      <c r="AT60" s="24">
        <f>SUM(Table_2021_CIP[[#This Row],[22-23]:[47-48]])</f>
        <v>3728283.0439999998</v>
      </c>
    </row>
    <row r="61" spans="1:46" ht="12.75" customHeight="1" x14ac:dyDescent="0.25">
      <c r="A61" s="25">
        <f t="shared" si="0"/>
        <v>53</v>
      </c>
      <c r="B61" t="s">
        <v>81</v>
      </c>
      <c r="C61" t="b">
        <v>0</v>
      </c>
      <c r="D61">
        <v>253</v>
      </c>
      <c r="E61">
        <v>130</v>
      </c>
      <c r="F61" t="b">
        <v>0</v>
      </c>
      <c r="G61" t="s">
        <v>107</v>
      </c>
      <c r="H61" t="s">
        <v>195</v>
      </c>
      <c r="I61" s="26">
        <v>21347</v>
      </c>
      <c r="J61"/>
      <c r="K61" t="s">
        <v>73</v>
      </c>
      <c r="L61" t="s">
        <v>85</v>
      </c>
      <c r="M61" s="27">
        <v>0</v>
      </c>
      <c r="N61" s="28">
        <v>16</v>
      </c>
      <c r="O61" s="29" t="str">
        <f>IF(Table_2021_CIP[[#This Row],[Column2]]&lt;10,"A",IF(Table_2021_CIP[[#This Row],[Column2]]&gt;19,"C","B"))</f>
        <v>B</v>
      </c>
      <c r="P61" t="s">
        <v>196</v>
      </c>
      <c r="Q61" s="30">
        <v>10495.05</v>
      </c>
      <c r="R61" s="30">
        <v>238540.5036</v>
      </c>
      <c r="S61" s="30">
        <v>0</v>
      </c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>
        <f>Table_2021_CIP[[#This Row],[TotalYR1]]+S61</f>
        <v>238540.5036</v>
      </c>
      <c r="AR61" s="30">
        <f>SUM(Table_2021_CIP[[#This Row],[TotalYR1]:[32-33]])</f>
        <v>238540.5036</v>
      </c>
      <c r="AS61" s="30">
        <f>SUM(Table_2021_CIP[[#This Row],[TotalYR1]:[47-48]])</f>
        <v>238540.5036</v>
      </c>
      <c r="AT61" s="24">
        <f>SUM(Table_2021_CIP[[#This Row],[22-23]:[47-48]])</f>
        <v>249035.55359999998</v>
      </c>
    </row>
    <row r="62" spans="1:46" ht="12.75" customHeight="1" x14ac:dyDescent="0.25">
      <c r="A62" s="25">
        <f t="shared" si="0"/>
        <v>54</v>
      </c>
      <c r="B62" t="s">
        <v>81</v>
      </c>
      <c r="C62" t="b">
        <v>0</v>
      </c>
      <c r="D62">
        <v>130</v>
      </c>
      <c r="E62">
        <v>130</v>
      </c>
      <c r="F62" t="b">
        <v>0</v>
      </c>
      <c r="G62" t="s">
        <v>107</v>
      </c>
      <c r="H62" t="s">
        <v>197</v>
      </c>
      <c r="I62" s="26">
        <v>21348</v>
      </c>
      <c r="J62" t="s">
        <v>154</v>
      </c>
      <c r="K62" t="s">
        <v>73</v>
      </c>
      <c r="L62" t="s">
        <v>85</v>
      </c>
      <c r="M62" s="27">
        <v>0.22600000000000001</v>
      </c>
      <c r="N62" s="28">
        <v>1</v>
      </c>
      <c r="O62" s="29" t="str">
        <f>IF(Table_2021_CIP[[#This Row],[Column2]]&lt;10,"A",IF(Table_2021_CIP[[#This Row],[Column2]]&gt;19,"C","B"))</f>
        <v>A</v>
      </c>
      <c r="P62" t="s">
        <v>198</v>
      </c>
      <c r="Q62" s="30">
        <v>175310.37</v>
      </c>
      <c r="R62" s="30">
        <f>2115314.976-1500000</f>
        <v>615314.97599999979</v>
      </c>
      <c r="S62" s="30">
        <f>(4206400.1453/2)-2000000</f>
        <v>103200.07264999999</v>
      </c>
      <c r="T62" s="30">
        <f>2103200.07+1000000+400000-2000000</f>
        <v>1503200.0699999998</v>
      </c>
      <c r="U62" s="30">
        <v>3000000</v>
      </c>
      <c r="V62" s="30">
        <v>2000000</v>
      </c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>
        <f>Table_2021_CIP[[#This Row],[TotalYR1]]+S62</f>
        <v>718515.04864999978</v>
      </c>
      <c r="AR62" s="30">
        <f>SUM(Table_2021_CIP[[#This Row],[TotalYR1]:[32-33]])</f>
        <v>7221715.1186499996</v>
      </c>
      <c r="AS62" s="30">
        <f>SUM(Table_2021_CIP[[#This Row],[TotalYR1]:[47-48]])</f>
        <v>7221715.1186499996</v>
      </c>
      <c r="AT62" s="24">
        <f>SUM(Table_2021_CIP[[#This Row],[22-23]:[47-48]])</f>
        <v>7397025.4886499997</v>
      </c>
    </row>
    <row r="63" spans="1:46" ht="12.75" customHeight="1" x14ac:dyDescent="0.25">
      <c r="A63" s="25">
        <f t="shared" si="0"/>
        <v>55</v>
      </c>
      <c r="B63" t="s">
        <v>100</v>
      </c>
      <c r="C63" t="b">
        <v>0</v>
      </c>
      <c r="D63">
        <v>140</v>
      </c>
      <c r="E63">
        <v>140</v>
      </c>
      <c r="F63" t="b">
        <v>0</v>
      </c>
      <c r="G63" t="s">
        <v>82</v>
      </c>
      <c r="H63" t="s">
        <v>199</v>
      </c>
      <c r="I63" s="26">
        <v>21360</v>
      </c>
      <c r="J63"/>
      <c r="K63" t="s">
        <v>73</v>
      </c>
      <c r="L63" t="s">
        <v>85</v>
      </c>
      <c r="M63" s="27">
        <v>0</v>
      </c>
      <c r="N63" s="28">
        <v>1</v>
      </c>
      <c r="O63" s="29" t="str">
        <f>IF(Table_2021_CIP[[#This Row],[Column2]]&lt;10,"A",IF(Table_2021_CIP[[#This Row],[Column2]]&gt;19,"C","B"))</f>
        <v>A</v>
      </c>
      <c r="P63" t="s">
        <v>200</v>
      </c>
      <c r="Q63" s="30">
        <v>250000</v>
      </c>
      <c r="R63" s="30">
        <v>350000</v>
      </c>
      <c r="S63" s="30">
        <v>150000</v>
      </c>
      <c r="T63" s="30">
        <v>60000</v>
      </c>
      <c r="U63" s="30">
        <v>60000</v>
      </c>
      <c r="V63" s="30">
        <v>60000</v>
      </c>
      <c r="W63" s="30">
        <v>60000</v>
      </c>
      <c r="X63" s="30">
        <v>60000</v>
      </c>
      <c r="Y63" s="30">
        <v>60000</v>
      </c>
      <c r="Z63" s="30">
        <v>60000</v>
      </c>
      <c r="AA63" s="30">
        <v>60000</v>
      </c>
      <c r="AB63" s="30">
        <v>60000</v>
      </c>
      <c r="AC63" s="30">
        <v>300000</v>
      </c>
      <c r="AD63" s="30">
        <v>60000</v>
      </c>
      <c r="AE63" s="30">
        <v>60000</v>
      </c>
      <c r="AF63" s="30">
        <v>60000</v>
      </c>
      <c r="AG63" s="30">
        <v>60000</v>
      </c>
      <c r="AH63" s="30">
        <v>60000</v>
      </c>
      <c r="AI63" s="30">
        <v>60000</v>
      </c>
      <c r="AJ63" s="30">
        <v>60000</v>
      </c>
      <c r="AK63" s="30">
        <v>60000</v>
      </c>
      <c r="AL63" s="30">
        <v>60000</v>
      </c>
      <c r="AM63" s="30">
        <v>300000</v>
      </c>
      <c r="AN63" s="30">
        <v>60000</v>
      </c>
      <c r="AO63" s="30">
        <v>60000</v>
      </c>
      <c r="AP63" s="30">
        <v>60000</v>
      </c>
      <c r="AQ63" s="30">
        <f>Table_2021_CIP[[#This Row],[TotalYR1]]+S63</f>
        <v>500000</v>
      </c>
      <c r="AR63" s="30">
        <f>SUM(Table_2021_CIP[[#This Row],[TotalYR1]:[32-33]])</f>
        <v>980000</v>
      </c>
      <c r="AS63" s="30">
        <f>SUM(Table_2021_CIP[[#This Row],[TotalYR1]:[47-48]])</f>
        <v>2360000</v>
      </c>
      <c r="AT63" s="24">
        <f>SUM(Table_2021_CIP[[#This Row],[22-23]:[47-48]])</f>
        <v>2610000</v>
      </c>
    </row>
    <row r="64" spans="1:46" ht="12.75" customHeight="1" x14ac:dyDescent="0.25">
      <c r="A64" s="25">
        <f t="shared" si="0"/>
        <v>56</v>
      </c>
      <c r="B64" t="s">
        <v>92</v>
      </c>
      <c r="C64" t="b">
        <v>0</v>
      </c>
      <c r="D64">
        <v>750</v>
      </c>
      <c r="E64">
        <v>130</v>
      </c>
      <c r="F64" t="b">
        <v>0</v>
      </c>
      <c r="G64" t="s">
        <v>71</v>
      </c>
      <c r="H64" t="s">
        <v>201</v>
      </c>
      <c r="I64" s="26">
        <v>21386</v>
      </c>
      <c r="J64"/>
      <c r="K64" t="s">
        <v>73</v>
      </c>
      <c r="L64" t="s">
        <v>85</v>
      </c>
      <c r="M64" s="27">
        <v>0.22600000000000001</v>
      </c>
      <c r="N64" s="28">
        <v>14</v>
      </c>
      <c r="O64" s="29" t="str">
        <f>IF(Table_2021_CIP[[#This Row],[Column2]]&lt;10,"A",IF(Table_2021_CIP[[#This Row],[Column2]]&gt;19,"C","B"))</f>
        <v>B</v>
      </c>
      <c r="P64" t="s">
        <v>202</v>
      </c>
      <c r="Q64" s="30">
        <v>39840</v>
      </c>
      <c r="R64" s="30">
        <v>1078264</v>
      </c>
      <c r="S64" s="30">
        <v>1754040</v>
      </c>
      <c r="T64" s="30">
        <f>262480+2041721</f>
        <v>2304201</v>
      </c>
      <c r="U64" s="30"/>
      <c r="V64" s="30"/>
      <c r="W64" s="30">
        <v>3954000</v>
      </c>
      <c r="X64" s="30"/>
      <c r="Y64" s="30"/>
      <c r="Z64" s="30"/>
      <c r="AA64" s="30"/>
      <c r="AB64" s="30">
        <v>3954000</v>
      </c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>
        <f>Table_2021_CIP[[#This Row],[TotalYR1]]+S64</f>
        <v>2832304</v>
      </c>
      <c r="AR64" s="30">
        <f>SUM(Table_2021_CIP[[#This Row],[TotalYR1]:[32-33]])</f>
        <v>9090505</v>
      </c>
      <c r="AS64" s="30">
        <f>SUM(Table_2021_CIP[[#This Row],[TotalYR1]:[47-48]])</f>
        <v>13044505</v>
      </c>
      <c r="AT64" s="24">
        <f>SUM(Table_2021_CIP[[#This Row],[22-23]:[47-48]])</f>
        <v>13084345</v>
      </c>
    </row>
    <row r="65" spans="1:46" ht="12.75" customHeight="1" x14ac:dyDescent="0.25">
      <c r="A65" s="25">
        <f t="shared" si="0"/>
        <v>57</v>
      </c>
      <c r="B65" t="s">
        <v>92</v>
      </c>
      <c r="C65" t="b">
        <v>0</v>
      </c>
      <c r="D65">
        <v>750</v>
      </c>
      <c r="E65">
        <v>130</v>
      </c>
      <c r="F65" t="b">
        <v>0</v>
      </c>
      <c r="G65" t="s">
        <v>165</v>
      </c>
      <c r="H65" t="s">
        <v>203</v>
      </c>
      <c r="I65" s="26">
        <v>21407</v>
      </c>
      <c r="J65"/>
      <c r="K65" t="s">
        <v>73</v>
      </c>
      <c r="L65" t="s">
        <v>85</v>
      </c>
      <c r="M65" s="27">
        <v>0.22600000000000001</v>
      </c>
      <c r="N65" s="28">
        <v>5</v>
      </c>
      <c r="O65" s="29" t="str">
        <f>IF(Table_2021_CIP[[#This Row],[Column2]]&lt;10,"A",IF(Table_2021_CIP[[#This Row],[Column2]]&gt;19,"C","B"))</f>
        <v>A</v>
      </c>
      <c r="P65" t="s">
        <v>204</v>
      </c>
      <c r="Q65" s="30">
        <v>107360</v>
      </c>
      <c r="R65" s="30">
        <v>270448</v>
      </c>
      <c r="S65" s="30">
        <f>2994552/2</f>
        <v>1497276</v>
      </c>
      <c r="T65" s="30">
        <v>1497276</v>
      </c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>
        <f>Table_2021_CIP[[#This Row],[TotalYR1]]+S65</f>
        <v>1767724</v>
      </c>
      <c r="AR65" s="30">
        <f>SUM(Table_2021_CIP[[#This Row],[TotalYR1]:[32-33]])</f>
        <v>3265000</v>
      </c>
      <c r="AS65" s="30">
        <f>SUM(Table_2021_CIP[[#This Row],[TotalYR1]:[47-48]])</f>
        <v>3265000</v>
      </c>
      <c r="AT65" s="24">
        <f>SUM(Table_2021_CIP[[#This Row],[22-23]:[47-48]])</f>
        <v>3372360</v>
      </c>
    </row>
    <row r="66" spans="1:46" ht="12.75" customHeight="1" x14ac:dyDescent="0.25">
      <c r="A66" s="25">
        <f t="shared" si="0"/>
        <v>58</v>
      </c>
      <c r="B66" t="s">
        <v>81</v>
      </c>
      <c r="C66" t="b">
        <v>0</v>
      </c>
      <c r="D66">
        <v>120</v>
      </c>
      <c r="E66">
        <v>120</v>
      </c>
      <c r="F66" t="b">
        <v>0</v>
      </c>
      <c r="G66" t="s">
        <v>107</v>
      </c>
      <c r="H66" t="s">
        <v>205</v>
      </c>
      <c r="I66" s="26" t="s">
        <v>206</v>
      </c>
      <c r="J66"/>
      <c r="K66" t="s">
        <v>73</v>
      </c>
      <c r="L66" t="s">
        <v>85</v>
      </c>
      <c r="M66" s="27">
        <v>0.22600000000000001</v>
      </c>
      <c r="N66" s="28">
        <v>1</v>
      </c>
      <c r="O66" s="29" t="str">
        <f>IF(Table_2021_CIP[[#This Row],[Column2]]&lt;10,"A",IF(Table_2021_CIP[[#This Row],[Column2]]&gt;19,"C","B"))</f>
        <v>A</v>
      </c>
      <c r="P66" t="s">
        <v>207</v>
      </c>
      <c r="Q66" s="30"/>
      <c r="R66" s="30">
        <v>216400</v>
      </c>
      <c r="S66" s="30">
        <v>441400</v>
      </c>
      <c r="T66" s="30"/>
      <c r="U66" s="30"/>
      <c r="V66" s="30"/>
      <c r="W66" s="30"/>
      <c r="X66" s="30">
        <v>342000</v>
      </c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>
        <f>Table_2021_CIP[[#This Row],[TotalYR1]]+S66</f>
        <v>657800</v>
      </c>
      <c r="AR66" s="30">
        <f>SUM(Table_2021_CIP[[#This Row],[TotalYR1]:[32-33]])</f>
        <v>999800</v>
      </c>
      <c r="AS66" s="30">
        <f>SUM(Table_2021_CIP[[#This Row],[TotalYR1]:[47-48]])</f>
        <v>999800</v>
      </c>
      <c r="AT66" s="24">
        <f>SUM(Table_2021_CIP[[#This Row],[22-23]:[47-48]])</f>
        <v>999800</v>
      </c>
    </row>
    <row r="67" spans="1:46" ht="12.75" customHeight="1" x14ac:dyDescent="0.25">
      <c r="A67" s="25">
        <f t="shared" si="0"/>
        <v>59</v>
      </c>
      <c r="B67" t="s">
        <v>81</v>
      </c>
      <c r="C67" t="b">
        <v>0</v>
      </c>
      <c r="D67">
        <v>130</v>
      </c>
      <c r="E67">
        <v>130</v>
      </c>
      <c r="F67" t="b">
        <v>0</v>
      </c>
      <c r="G67" t="s">
        <v>107</v>
      </c>
      <c r="H67" t="s">
        <v>208</v>
      </c>
      <c r="I67" s="26" t="s">
        <v>209</v>
      </c>
      <c r="J67" t="s">
        <v>147</v>
      </c>
      <c r="K67" t="s">
        <v>73</v>
      </c>
      <c r="L67" t="s">
        <v>85</v>
      </c>
      <c r="M67" s="27">
        <v>0.22600000000000001</v>
      </c>
      <c r="N67" s="28">
        <v>10</v>
      </c>
      <c r="O67" s="29" t="str">
        <f>IF(Table_2021_CIP[[#This Row],[Column2]]&lt;10,"A",IF(Table_2021_CIP[[#This Row],[Column2]]&gt;19,"C","B"))</f>
        <v>B</v>
      </c>
      <c r="P67" t="s">
        <v>210</v>
      </c>
      <c r="Q67" s="30">
        <v>9458.4500000000007</v>
      </c>
      <c r="R67" s="30">
        <v>0</v>
      </c>
      <c r="S67" s="30">
        <v>316064</v>
      </c>
      <c r="T67" s="30">
        <f>2455000-1000000</f>
        <v>1455000</v>
      </c>
      <c r="U67" s="30">
        <v>1455000</v>
      </c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>
        <f>Table_2021_CIP[[#This Row],[TotalYR1]]+S67</f>
        <v>316064</v>
      </c>
      <c r="AR67" s="30">
        <f>SUM(Table_2021_CIP[[#This Row],[TotalYR1]:[32-33]])</f>
        <v>3226064</v>
      </c>
      <c r="AS67" s="30">
        <f>SUM(Table_2021_CIP[[#This Row],[TotalYR1]:[47-48]])</f>
        <v>3226064</v>
      </c>
      <c r="AT67" s="24">
        <f>SUM(Table_2021_CIP[[#This Row],[22-23]:[47-48]])</f>
        <v>3235522.45</v>
      </c>
    </row>
    <row r="68" spans="1:46" ht="12.75" customHeight="1" x14ac:dyDescent="0.25">
      <c r="A68" s="25">
        <f t="shared" si="0"/>
        <v>60</v>
      </c>
      <c r="B68" t="s">
        <v>92</v>
      </c>
      <c r="C68" t="b">
        <v>0</v>
      </c>
      <c r="D68">
        <v>740</v>
      </c>
      <c r="E68">
        <v>130</v>
      </c>
      <c r="F68" t="b">
        <v>1</v>
      </c>
      <c r="G68" t="s">
        <v>71</v>
      </c>
      <c r="H68" t="s">
        <v>211</v>
      </c>
      <c r="I68" s="26" t="s">
        <v>212</v>
      </c>
      <c r="J68" t="s">
        <v>147</v>
      </c>
      <c r="K68" t="s">
        <v>73</v>
      </c>
      <c r="L68" t="s">
        <v>85</v>
      </c>
      <c r="M68" s="27">
        <v>0.22600000000000001</v>
      </c>
      <c r="N68" s="28">
        <v>14</v>
      </c>
      <c r="O68" s="29" t="str">
        <f>IF(Table_2021_CIP[[#This Row],[Column2]]&lt;10,"A",IF(Table_2021_CIP[[#This Row],[Column2]]&gt;19,"C","B"))</f>
        <v>B</v>
      </c>
      <c r="P68" t="s">
        <v>213</v>
      </c>
      <c r="Q68" s="30">
        <v>60000</v>
      </c>
      <c r="R68" s="30">
        <v>197031.9981</v>
      </c>
      <c r="S68" s="30">
        <v>1098186.8559999999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  <c r="AG68" s="30">
        <v>0</v>
      </c>
      <c r="AH68" s="30">
        <v>0</v>
      </c>
      <c r="AI68" s="30">
        <v>0</v>
      </c>
      <c r="AJ68" s="30">
        <v>0</v>
      </c>
      <c r="AK68" s="30">
        <v>0</v>
      </c>
      <c r="AL68" s="30">
        <v>0</v>
      </c>
      <c r="AM68" s="30">
        <v>0</v>
      </c>
      <c r="AN68" s="30">
        <v>0</v>
      </c>
      <c r="AO68" s="30">
        <v>0</v>
      </c>
      <c r="AP68" s="30">
        <v>0</v>
      </c>
      <c r="AQ68" s="30">
        <f>Table_2021_CIP[[#This Row],[TotalYR1]]+S68</f>
        <v>1295218.8540999999</v>
      </c>
      <c r="AR68" s="30">
        <f>SUM(Table_2021_CIP[[#This Row],[TotalYR1]:[32-33]])</f>
        <v>1295218.8540999999</v>
      </c>
      <c r="AS68" s="30">
        <f>SUM(Table_2021_CIP[[#This Row],[TotalYR1]:[47-48]])</f>
        <v>1295218.8540999999</v>
      </c>
      <c r="AT68" s="24">
        <f>SUM(Table_2021_CIP[[#This Row],[22-23]:[47-48]])</f>
        <v>1355218.8540999999</v>
      </c>
    </row>
    <row r="69" spans="1:46" ht="12.75" customHeight="1" x14ac:dyDescent="0.25">
      <c r="A69" s="25">
        <f t="shared" si="0"/>
        <v>61</v>
      </c>
      <c r="B69" t="s">
        <v>81</v>
      </c>
      <c r="C69" t="b">
        <v>0</v>
      </c>
      <c r="D69">
        <v>240</v>
      </c>
      <c r="E69">
        <v>130</v>
      </c>
      <c r="F69" t="b">
        <v>0</v>
      </c>
      <c r="G69" t="s">
        <v>214</v>
      </c>
      <c r="H69" t="s">
        <v>215</v>
      </c>
      <c r="I69" s="26" t="s">
        <v>216</v>
      </c>
      <c r="J69"/>
      <c r="K69" t="s">
        <v>73</v>
      </c>
      <c r="L69" t="s">
        <v>85</v>
      </c>
      <c r="M69" s="27">
        <v>0.22600000000000001</v>
      </c>
      <c r="N69" s="28">
        <v>16</v>
      </c>
      <c r="O69" s="29" t="str">
        <f>IF(Table_2021_CIP[[#This Row],[Column2]]&lt;10,"A",IF(Table_2021_CIP[[#This Row],[Column2]]&gt;19,"C","B"))</f>
        <v>B</v>
      </c>
      <c r="P69" t="s">
        <v>217</v>
      </c>
      <c r="Q69" s="30"/>
      <c r="R69" s="30">
        <v>0</v>
      </c>
      <c r="S69" s="30"/>
      <c r="T69" s="30"/>
      <c r="U69" s="30"/>
      <c r="V69" s="30"/>
      <c r="W69" s="30"/>
      <c r="X69" s="30"/>
      <c r="Y69" s="30"/>
      <c r="Z69" s="30"/>
      <c r="AA69" s="30"/>
      <c r="AB69" s="30">
        <v>31872</v>
      </c>
      <c r="AC69" s="30">
        <v>36050</v>
      </c>
      <c r="AD69" s="30">
        <v>247200</v>
      </c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>
        <f>Table_2021_CIP[[#This Row],[TotalYR1]]+S69</f>
        <v>0</v>
      </c>
      <c r="AR69" s="30">
        <f>SUM(Table_2021_CIP[[#This Row],[TotalYR1]:[32-33]])</f>
        <v>0</v>
      </c>
      <c r="AS69" s="30">
        <f>SUM(Table_2021_CIP[[#This Row],[TotalYR1]:[47-48]])</f>
        <v>315122</v>
      </c>
      <c r="AT69" s="24">
        <f>SUM(Table_2021_CIP[[#This Row],[22-23]:[47-48]])</f>
        <v>315122</v>
      </c>
    </row>
    <row r="70" spans="1:46" ht="12.75" customHeight="1" x14ac:dyDescent="0.25">
      <c r="A70" s="25">
        <f t="shared" si="0"/>
        <v>62</v>
      </c>
      <c r="B70" t="s">
        <v>81</v>
      </c>
      <c r="C70" t="b">
        <v>0</v>
      </c>
      <c r="D70">
        <v>120</v>
      </c>
      <c r="E70">
        <v>130</v>
      </c>
      <c r="F70" t="b">
        <v>0</v>
      </c>
      <c r="G70" t="s">
        <v>107</v>
      </c>
      <c r="H70" t="s">
        <v>218</v>
      </c>
      <c r="I70" s="26" t="s">
        <v>219</v>
      </c>
      <c r="J70"/>
      <c r="K70" t="s">
        <v>73</v>
      </c>
      <c r="L70" t="s">
        <v>85</v>
      </c>
      <c r="M70" s="27">
        <v>1</v>
      </c>
      <c r="N70" s="28">
        <v>16</v>
      </c>
      <c r="O70" s="29" t="str">
        <f>IF(Table_2021_CIP[[#This Row],[Column2]]&lt;10,"A",IF(Table_2021_CIP[[#This Row],[Column2]]&gt;19,"C","B"))</f>
        <v>B</v>
      </c>
      <c r="P70" t="s">
        <v>220</v>
      </c>
      <c r="Q70" s="30">
        <v>0</v>
      </c>
      <c r="R70" s="30">
        <v>0</v>
      </c>
      <c r="S70" s="30">
        <v>0</v>
      </c>
      <c r="T70" s="30">
        <v>750000</v>
      </c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>
        <f>Table_2021_CIP[[#This Row],[TotalYR1]]+S70</f>
        <v>0</v>
      </c>
      <c r="AR70" s="30">
        <f>SUM(Table_2021_CIP[[#This Row],[TotalYR1]:[32-33]])</f>
        <v>750000</v>
      </c>
      <c r="AS70" s="30">
        <f>SUM(Table_2021_CIP[[#This Row],[TotalYR1]:[47-48]])</f>
        <v>750000</v>
      </c>
      <c r="AT70" s="24">
        <f>SUM(Table_2021_CIP[[#This Row],[22-23]:[47-48]])</f>
        <v>750000</v>
      </c>
    </row>
    <row r="71" spans="1:46" ht="12.75" customHeight="1" x14ac:dyDescent="0.25">
      <c r="A71" s="17">
        <f t="shared" si="0"/>
        <v>63</v>
      </c>
      <c r="B71" s="18" t="s">
        <v>100</v>
      </c>
      <c r="C71" s="18" t="b">
        <v>1</v>
      </c>
      <c r="D71" s="18">
        <v>120</v>
      </c>
      <c r="E71" s="18">
        <v>120</v>
      </c>
      <c r="F71" s="18" t="b">
        <v>0</v>
      </c>
      <c r="G71" s="18" t="s">
        <v>101</v>
      </c>
      <c r="H71" s="18" t="s">
        <v>221</v>
      </c>
      <c r="I71" s="19" t="s">
        <v>222</v>
      </c>
      <c r="J71" s="18"/>
      <c r="K71" s="18" t="s">
        <v>73</v>
      </c>
      <c r="L71" s="18" t="s">
        <v>74</v>
      </c>
      <c r="M71" s="20">
        <v>0</v>
      </c>
      <c r="N71" s="21">
        <v>19</v>
      </c>
      <c r="O71" s="22" t="str">
        <f>IF(Table_2021_CIP[[#This Row],[Column2]]&lt;10,"A",IF(Table_2021_CIP[[#This Row],[Column2]]&gt;19,"C","B"))</f>
        <v>B</v>
      </c>
      <c r="P71" s="18" t="s">
        <v>223</v>
      </c>
      <c r="Q71" s="23">
        <v>0</v>
      </c>
      <c r="R71" s="23">
        <v>5000</v>
      </c>
      <c r="S71" s="23">
        <v>5000</v>
      </c>
      <c r="T71" s="23">
        <v>5000</v>
      </c>
      <c r="U71" s="23">
        <v>5000</v>
      </c>
      <c r="V71" s="23">
        <v>5000</v>
      </c>
      <c r="W71" s="23">
        <v>5000</v>
      </c>
      <c r="X71" s="23">
        <v>5000</v>
      </c>
      <c r="Y71" s="23">
        <v>5000</v>
      </c>
      <c r="Z71" s="23">
        <v>5000</v>
      </c>
      <c r="AA71" s="23">
        <v>5000</v>
      </c>
      <c r="AB71" s="23">
        <v>5000</v>
      </c>
      <c r="AC71" s="23">
        <v>5000</v>
      </c>
      <c r="AD71" s="23">
        <v>5000</v>
      </c>
      <c r="AE71" s="23">
        <v>5000</v>
      </c>
      <c r="AF71" s="23">
        <v>5000</v>
      </c>
      <c r="AG71" s="23">
        <v>5000</v>
      </c>
      <c r="AH71" s="23">
        <v>5000</v>
      </c>
      <c r="AI71" s="23">
        <v>5000</v>
      </c>
      <c r="AJ71" s="23">
        <v>5000</v>
      </c>
      <c r="AK71" s="23">
        <v>5000</v>
      </c>
      <c r="AL71" s="23">
        <v>5000</v>
      </c>
      <c r="AM71" s="23">
        <v>5000</v>
      </c>
      <c r="AN71" s="23">
        <v>5000</v>
      </c>
      <c r="AO71" s="23">
        <v>5000</v>
      </c>
      <c r="AP71" s="23">
        <v>5000</v>
      </c>
      <c r="AQ71" s="23">
        <f>Table_2021_CIP[[#This Row],[TotalYR1]]+S71</f>
        <v>10000</v>
      </c>
      <c r="AR71" s="23">
        <f>SUM(Table_2021_CIP[[#This Row],[TotalYR1]:[32-33]])</f>
        <v>50000</v>
      </c>
      <c r="AS71" s="23">
        <f>SUM(Table_2021_CIP[[#This Row],[TotalYR1]:[47-48]])</f>
        <v>125000</v>
      </c>
      <c r="AT71" s="24">
        <f>SUM(Table_2021_CIP[[#This Row],[22-23]:[47-48]])</f>
        <v>125000</v>
      </c>
    </row>
    <row r="72" spans="1:46" ht="12.75" customHeight="1" x14ac:dyDescent="0.25">
      <c r="A72" s="25">
        <f t="shared" si="0"/>
        <v>64</v>
      </c>
      <c r="B72" t="s">
        <v>81</v>
      </c>
      <c r="C72" t="b">
        <v>0</v>
      </c>
      <c r="D72">
        <v>120</v>
      </c>
      <c r="E72">
        <v>130</v>
      </c>
      <c r="F72" t="b">
        <v>0</v>
      </c>
      <c r="G72" t="s">
        <v>101</v>
      </c>
      <c r="H72" s="31" t="s">
        <v>224</v>
      </c>
      <c r="I72" s="26" t="s">
        <v>225</v>
      </c>
      <c r="J72" t="s">
        <v>226</v>
      </c>
      <c r="K72" t="s">
        <v>103</v>
      </c>
      <c r="L72" t="s">
        <v>85</v>
      </c>
      <c r="M72" s="27">
        <v>0.5</v>
      </c>
      <c r="N72" s="28">
        <v>19</v>
      </c>
      <c r="O72" s="29" t="str">
        <f>IF(Table_2021_CIP[[#This Row],[Column2]]&lt;10,"A",IF(Table_2021_CIP[[#This Row],[Column2]]&gt;19,"C","B"))</f>
        <v>B</v>
      </c>
      <c r="P72" t="s">
        <v>227</v>
      </c>
      <c r="Q72" s="30">
        <v>15000</v>
      </c>
      <c r="R72" s="30">
        <v>79680</v>
      </c>
      <c r="S72" s="30">
        <v>119520</v>
      </c>
      <c r="T72" s="30">
        <v>250000</v>
      </c>
      <c r="U72" s="30"/>
      <c r="V72" s="30"/>
      <c r="W72" s="30"/>
      <c r="X72" s="30"/>
      <c r="Y72" s="30">
        <v>2000000</v>
      </c>
      <c r="Z72" s="30">
        <v>2000000</v>
      </c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>
        <f>Table_2021_CIP[[#This Row],[TotalYR1]]+S72</f>
        <v>199200</v>
      </c>
      <c r="AR72" s="30">
        <f>SUM(Table_2021_CIP[[#This Row],[TotalYR1]:[32-33]])</f>
        <v>4449200</v>
      </c>
      <c r="AS72" s="30">
        <f>SUM(Table_2021_CIP[[#This Row],[TotalYR1]:[47-48]])</f>
        <v>4449200</v>
      </c>
      <c r="AT72" s="24">
        <f>SUM(Table_2021_CIP[[#This Row],[22-23]:[47-48]])</f>
        <v>4464200</v>
      </c>
    </row>
    <row r="73" spans="1:46" ht="12.75" customHeight="1" x14ac:dyDescent="0.25">
      <c r="A73" s="25">
        <f t="shared" si="0"/>
        <v>65</v>
      </c>
      <c r="B73" t="s">
        <v>81</v>
      </c>
      <c r="C73" t="b">
        <v>0</v>
      </c>
      <c r="D73">
        <v>120</v>
      </c>
      <c r="E73">
        <v>130</v>
      </c>
      <c r="F73" t="b">
        <v>0</v>
      </c>
      <c r="G73" t="s">
        <v>101</v>
      </c>
      <c r="H73" t="s">
        <v>228</v>
      </c>
      <c r="I73" s="26" t="s">
        <v>229</v>
      </c>
      <c r="J73" t="s">
        <v>226</v>
      </c>
      <c r="K73" t="s">
        <v>103</v>
      </c>
      <c r="L73" t="s">
        <v>85</v>
      </c>
      <c r="M73" s="27">
        <v>0.22600000000000001</v>
      </c>
      <c r="N73" s="28">
        <v>19</v>
      </c>
      <c r="O73" s="29" t="str">
        <f>IF(Table_2021_CIP[[#This Row],[Column2]]&lt;10,"A",IF(Table_2021_CIP[[#This Row],[Column2]]&gt;19,"C","B"))</f>
        <v>B</v>
      </c>
      <c r="P73" t="s">
        <v>230</v>
      </c>
      <c r="Q73" s="30">
        <v>15000</v>
      </c>
      <c r="R73" s="30">
        <v>79680</v>
      </c>
      <c r="S73" s="30">
        <v>119520</v>
      </c>
      <c r="T73" s="30">
        <v>120000</v>
      </c>
      <c r="U73" s="30">
        <v>120000</v>
      </c>
      <c r="V73" s="30">
        <v>100000</v>
      </c>
      <c r="W73" s="30"/>
      <c r="X73" s="30"/>
      <c r="Y73" s="30">
        <f>4400000/2</f>
        <v>2200000</v>
      </c>
      <c r="Z73" s="30">
        <v>2200000</v>
      </c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>
        <f>Table_2021_CIP[[#This Row],[TotalYR1]]+S73</f>
        <v>199200</v>
      </c>
      <c r="AR73" s="30">
        <f>SUM(Table_2021_CIP[[#This Row],[TotalYR1]:[32-33]])</f>
        <v>4939200</v>
      </c>
      <c r="AS73" s="30">
        <f>SUM(Table_2021_CIP[[#This Row],[TotalYR1]:[47-48]])</f>
        <v>4939200</v>
      </c>
      <c r="AT73" s="24">
        <f>SUM(Table_2021_CIP[[#This Row],[22-23]:[47-48]])</f>
        <v>4954200</v>
      </c>
    </row>
    <row r="74" spans="1:46" ht="12.75" customHeight="1" x14ac:dyDescent="0.25">
      <c r="A74" s="17">
        <f t="shared" si="0"/>
        <v>66</v>
      </c>
      <c r="B74" s="18" t="s">
        <v>70</v>
      </c>
      <c r="C74" s="18" t="b">
        <v>1</v>
      </c>
      <c r="D74" s="18">
        <v>120</v>
      </c>
      <c r="E74" s="18">
        <v>140</v>
      </c>
      <c r="F74" s="18" t="b">
        <v>0</v>
      </c>
      <c r="G74" s="18" t="s">
        <v>101</v>
      </c>
      <c r="H74" s="18" t="s">
        <v>231</v>
      </c>
      <c r="I74" s="19" t="s">
        <v>232</v>
      </c>
      <c r="J74" s="18"/>
      <c r="K74" s="18" t="s">
        <v>73</v>
      </c>
      <c r="L74" s="18" t="s">
        <v>74</v>
      </c>
      <c r="M74" s="20">
        <v>1</v>
      </c>
      <c r="N74" s="21">
        <v>9</v>
      </c>
      <c r="O74" s="22" t="str">
        <f>IF(Table_2021_CIP[[#This Row],[Column2]]&lt;10,"A",IF(Table_2021_CIP[[#This Row],[Column2]]&gt;19,"C","B"))</f>
        <v>A</v>
      </c>
      <c r="P74" s="18" t="s">
        <v>233</v>
      </c>
      <c r="Q74" s="23">
        <v>0</v>
      </c>
      <c r="R74" s="23">
        <v>114840</v>
      </c>
      <c r="S74" s="23">
        <v>139840</v>
      </c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>
        <f>Table_2021_CIP[[#This Row],[TotalYR1]]+S74</f>
        <v>254680</v>
      </c>
      <c r="AR74" s="23">
        <f>SUM(Table_2021_CIP[[#This Row],[TotalYR1]:[32-33]])</f>
        <v>254680</v>
      </c>
      <c r="AS74" s="23">
        <f>SUM(Table_2021_CIP[[#This Row],[TotalYR1]:[47-48]])</f>
        <v>254680</v>
      </c>
      <c r="AT74" s="24">
        <f>SUM(Table_2021_CIP[[#This Row],[22-23]:[47-48]])</f>
        <v>254680</v>
      </c>
    </row>
    <row r="75" spans="1:46" ht="12.75" customHeight="1" x14ac:dyDescent="0.25">
      <c r="A75" s="25">
        <f t="shared" si="0"/>
        <v>67</v>
      </c>
      <c r="B75" t="s">
        <v>81</v>
      </c>
      <c r="C75" t="b">
        <v>0</v>
      </c>
      <c r="D75">
        <v>130</v>
      </c>
      <c r="E75">
        <v>130</v>
      </c>
      <c r="F75" t="b">
        <v>0</v>
      </c>
      <c r="G75" t="s">
        <v>101</v>
      </c>
      <c r="H75" t="s">
        <v>234</v>
      </c>
      <c r="I75" s="26" t="s">
        <v>235</v>
      </c>
      <c r="J75"/>
      <c r="K75" t="s">
        <v>73</v>
      </c>
      <c r="L75" t="s">
        <v>85</v>
      </c>
      <c r="M75" s="27">
        <v>0.22600000000000001</v>
      </c>
      <c r="N75" s="28">
        <v>11</v>
      </c>
      <c r="O75" s="29" t="str">
        <f>IF(Table_2021_CIP[[#This Row],[Column2]]&lt;10,"A",IF(Table_2021_CIP[[#This Row],[Column2]]&gt;19,"C","B"))</f>
        <v>B</v>
      </c>
      <c r="P75" t="s">
        <v>236</v>
      </c>
      <c r="Q75" s="30"/>
      <c r="R75" s="30">
        <v>0</v>
      </c>
      <c r="S75" s="30">
        <v>0</v>
      </c>
      <c r="T75" s="30">
        <v>100000</v>
      </c>
      <c r="U75" s="30">
        <v>350000</v>
      </c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>
        <f>Table_2021_CIP[[#This Row],[TotalYR1]]+S75</f>
        <v>0</v>
      </c>
      <c r="AR75" s="30">
        <f>SUM(Table_2021_CIP[[#This Row],[TotalYR1]:[32-33]])</f>
        <v>450000</v>
      </c>
      <c r="AS75" s="30">
        <f>SUM(Table_2021_CIP[[#This Row],[TotalYR1]:[47-48]])</f>
        <v>450000</v>
      </c>
      <c r="AT75" s="24">
        <f>SUM(Table_2021_CIP[[#This Row],[22-23]:[47-48]])</f>
        <v>450000</v>
      </c>
    </row>
    <row r="76" spans="1:46" ht="12.75" customHeight="1" x14ac:dyDescent="0.25">
      <c r="A76" s="25">
        <f t="shared" ref="A76:A139" si="3">A75+1</f>
        <v>68</v>
      </c>
      <c r="B76" t="s">
        <v>101</v>
      </c>
      <c r="C76" t="b">
        <v>0</v>
      </c>
      <c r="D76">
        <v>253</v>
      </c>
      <c r="E76">
        <v>253</v>
      </c>
      <c r="F76" t="b">
        <v>0</v>
      </c>
      <c r="G76" t="s">
        <v>82</v>
      </c>
      <c r="H76" t="s">
        <v>237</v>
      </c>
      <c r="I76" s="26" t="s">
        <v>238</v>
      </c>
      <c r="J76"/>
      <c r="K76" t="s">
        <v>73</v>
      </c>
      <c r="L76" t="s">
        <v>85</v>
      </c>
      <c r="M76" s="27">
        <v>0.10000000149011599</v>
      </c>
      <c r="N76" s="28">
        <v>1</v>
      </c>
      <c r="O76" s="29" t="str">
        <f>IF(Table_2021_CIP[[#This Row],[Column2]]&lt;10,"A",IF(Table_2021_CIP[[#This Row],[Column2]]&gt;19,"C","B"))</f>
        <v>A</v>
      </c>
      <c r="P76" t="s">
        <v>239</v>
      </c>
      <c r="Q76" s="30"/>
      <c r="R76" s="30">
        <v>0</v>
      </c>
      <c r="S76" s="30">
        <v>0</v>
      </c>
      <c r="T76" s="30"/>
      <c r="U76" s="30"/>
      <c r="V76" s="30"/>
      <c r="W76" s="30">
        <v>300000</v>
      </c>
      <c r="X76" s="30">
        <v>300000</v>
      </c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>
        <f>Table_2021_CIP[[#This Row],[TotalYR1]]+S76</f>
        <v>0</v>
      </c>
      <c r="AR76" s="30">
        <f>SUM(Table_2021_CIP[[#This Row],[TotalYR1]:[32-33]])</f>
        <v>600000</v>
      </c>
      <c r="AS76" s="30">
        <f>SUM(Table_2021_CIP[[#This Row],[TotalYR1]:[47-48]])</f>
        <v>600000</v>
      </c>
      <c r="AT76" s="24">
        <f>SUM(Table_2021_CIP[[#This Row],[22-23]:[47-48]])</f>
        <v>600000</v>
      </c>
    </row>
    <row r="77" spans="1:46" ht="12.75" customHeight="1" x14ac:dyDescent="0.25">
      <c r="A77" s="25">
        <f t="shared" si="3"/>
        <v>69</v>
      </c>
      <c r="B77" t="s">
        <v>81</v>
      </c>
      <c r="C77" t="b">
        <v>0</v>
      </c>
      <c r="D77">
        <v>253</v>
      </c>
      <c r="E77">
        <v>130</v>
      </c>
      <c r="F77" t="b">
        <v>0</v>
      </c>
      <c r="G77" t="s">
        <v>101</v>
      </c>
      <c r="H77" t="s">
        <v>240</v>
      </c>
      <c r="I77" s="26" t="s">
        <v>241</v>
      </c>
      <c r="J77"/>
      <c r="K77" t="s">
        <v>73</v>
      </c>
      <c r="L77" t="s">
        <v>85</v>
      </c>
      <c r="M77" s="27">
        <v>0</v>
      </c>
      <c r="N77" s="28">
        <v>11</v>
      </c>
      <c r="O77" s="29" t="str">
        <f>IF(Table_2021_CIP[[#This Row],[Column2]]&lt;10,"A",IF(Table_2021_CIP[[#This Row],[Column2]]&gt;19,"C","B"))</f>
        <v>B</v>
      </c>
      <c r="P77" t="s">
        <v>242</v>
      </c>
      <c r="Q77" s="30"/>
      <c r="R77" s="30">
        <v>0</v>
      </c>
      <c r="S77" s="30">
        <v>0</v>
      </c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>
        <v>225000</v>
      </c>
      <c r="AE77" s="30">
        <v>709000</v>
      </c>
      <c r="AF77" s="30">
        <v>422000</v>
      </c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>
        <f>Table_2021_CIP[[#This Row],[TotalYR1]]+S77</f>
        <v>0</v>
      </c>
      <c r="AR77" s="30">
        <f>SUM(Table_2021_CIP[[#This Row],[TotalYR1]:[32-33]])</f>
        <v>0</v>
      </c>
      <c r="AS77" s="30">
        <f>SUM(Table_2021_CIP[[#This Row],[TotalYR1]:[47-48]])</f>
        <v>1356000</v>
      </c>
      <c r="AT77" s="24">
        <f>SUM(Table_2021_CIP[[#This Row],[22-23]:[47-48]])</f>
        <v>1356000</v>
      </c>
    </row>
    <row r="78" spans="1:46" ht="12.75" customHeight="1" x14ac:dyDescent="0.25">
      <c r="A78" s="25">
        <f t="shared" si="3"/>
        <v>70</v>
      </c>
      <c r="B78" t="s">
        <v>101</v>
      </c>
      <c r="C78" t="b">
        <v>0</v>
      </c>
      <c r="D78">
        <v>253</v>
      </c>
      <c r="E78">
        <v>130</v>
      </c>
      <c r="F78" t="b">
        <v>0</v>
      </c>
      <c r="G78" t="s">
        <v>101</v>
      </c>
      <c r="H78" t="s">
        <v>243</v>
      </c>
      <c r="I78" s="26" t="s">
        <v>244</v>
      </c>
      <c r="J78"/>
      <c r="K78" t="s">
        <v>73</v>
      </c>
      <c r="L78" t="s">
        <v>85</v>
      </c>
      <c r="M78" s="27">
        <v>0</v>
      </c>
      <c r="N78" s="28">
        <v>27</v>
      </c>
      <c r="O78" s="29" t="str">
        <f>IF(Table_2021_CIP[[#This Row],[Column2]]&lt;10,"A",IF(Table_2021_CIP[[#This Row],[Column2]]&gt;19,"C","B"))</f>
        <v>C</v>
      </c>
      <c r="P78" t="s">
        <v>245</v>
      </c>
      <c r="Q78" s="30"/>
      <c r="R78" s="30">
        <v>0</v>
      </c>
      <c r="S78" s="30">
        <v>0</v>
      </c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>
        <v>130000</v>
      </c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>
        <f>Table_2021_CIP[[#This Row],[TotalYR1]]+S78</f>
        <v>0</v>
      </c>
      <c r="AR78" s="30">
        <f>SUM(Table_2021_CIP[[#This Row],[TotalYR1]:[32-33]])</f>
        <v>0</v>
      </c>
      <c r="AS78" s="30">
        <f>SUM(Table_2021_CIP[[#This Row],[TotalYR1]:[47-48]])</f>
        <v>130000</v>
      </c>
      <c r="AT78" s="24">
        <f>SUM(Table_2021_CIP[[#This Row],[22-23]:[47-48]])</f>
        <v>130000</v>
      </c>
    </row>
    <row r="79" spans="1:46" ht="12.75" customHeight="1" x14ac:dyDescent="0.25">
      <c r="A79" s="25">
        <f t="shared" si="3"/>
        <v>71</v>
      </c>
      <c r="B79" t="s">
        <v>100</v>
      </c>
      <c r="C79" t="b">
        <v>0</v>
      </c>
      <c r="D79">
        <v>253</v>
      </c>
      <c r="E79">
        <v>130</v>
      </c>
      <c r="F79" t="b">
        <v>0</v>
      </c>
      <c r="G79" t="s">
        <v>165</v>
      </c>
      <c r="H79" t="s">
        <v>246</v>
      </c>
      <c r="I79" s="26" t="s">
        <v>247</v>
      </c>
      <c r="J79"/>
      <c r="K79" t="s">
        <v>73</v>
      </c>
      <c r="L79" t="s">
        <v>85</v>
      </c>
      <c r="M79" s="27">
        <v>5.0000000745058101E-2</v>
      </c>
      <c r="N79" s="28">
        <v>15</v>
      </c>
      <c r="O79" s="29" t="str">
        <f>IF(Table_2021_CIP[[#This Row],[Column2]]&lt;10,"A",IF(Table_2021_CIP[[#This Row],[Column2]]&gt;19,"C","B"))</f>
        <v>B</v>
      </c>
      <c r="P79" t="s">
        <v>248</v>
      </c>
      <c r="Q79" s="30"/>
      <c r="R79" s="30">
        <v>0</v>
      </c>
      <c r="S79" s="30">
        <v>0</v>
      </c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>
        <v>500000</v>
      </c>
      <c r="AH79" s="30">
        <v>2000000</v>
      </c>
      <c r="AI79" s="30">
        <v>2000000</v>
      </c>
      <c r="AJ79" s="30"/>
      <c r="AK79" s="30"/>
      <c r="AL79" s="30"/>
      <c r="AM79" s="30"/>
      <c r="AN79" s="30"/>
      <c r="AO79" s="30"/>
      <c r="AP79" s="30"/>
      <c r="AQ79" s="30">
        <f>Table_2021_CIP[[#This Row],[TotalYR1]]+S79</f>
        <v>0</v>
      </c>
      <c r="AR79" s="30">
        <f>SUM(Table_2021_CIP[[#This Row],[TotalYR1]:[32-33]])</f>
        <v>0</v>
      </c>
      <c r="AS79" s="30">
        <f>SUM(Table_2021_CIP[[#This Row],[TotalYR1]:[47-48]])</f>
        <v>4500000</v>
      </c>
      <c r="AT79" s="24">
        <f>SUM(Table_2021_CIP[[#This Row],[22-23]:[47-48]])</f>
        <v>4500000</v>
      </c>
    </row>
    <row r="80" spans="1:46" ht="12.75" customHeight="1" x14ac:dyDescent="0.25">
      <c r="A80" s="25">
        <f t="shared" si="3"/>
        <v>72</v>
      </c>
      <c r="B80" t="s">
        <v>81</v>
      </c>
      <c r="C80" t="b">
        <v>0</v>
      </c>
      <c r="D80">
        <v>253</v>
      </c>
      <c r="E80">
        <v>130</v>
      </c>
      <c r="F80" t="b">
        <v>0</v>
      </c>
      <c r="G80" t="s">
        <v>165</v>
      </c>
      <c r="H80" t="s">
        <v>249</v>
      </c>
      <c r="I80" s="26" t="s">
        <v>250</v>
      </c>
      <c r="J80"/>
      <c r="K80" t="s">
        <v>73</v>
      </c>
      <c r="L80" t="s">
        <v>85</v>
      </c>
      <c r="M80" s="27">
        <v>0.10000000149011599</v>
      </c>
      <c r="N80" s="28">
        <v>1</v>
      </c>
      <c r="O80" s="29" t="str">
        <f>IF(Table_2021_CIP[[#This Row],[Column2]]&lt;10,"A",IF(Table_2021_CIP[[#This Row],[Column2]]&gt;19,"C","B"))</f>
        <v>A</v>
      </c>
      <c r="P80" t="s">
        <v>251</v>
      </c>
      <c r="Q80" s="30"/>
      <c r="R80" s="30"/>
      <c r="S80" s="30">
        <v>0</v>
      </c>
      <c r="T80" s="30"/>
      <c r="U80" s="30"/>
      <c r="V80" s="30">
        <v>26560</v>
      </c>
      <c r="W80" s="30">
        <v>445190</v>
      </c>
      <c r="X80" s="30">
        <v>2317561</v>
      </c>
      <c r="Y80" s="30">
        <v>60500</v>
      </c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>
        <f>Table_2021_CIP[[#This Row],[TotalYR1]]+S80</f>
        <v>0</v>
      </c>
      <c r="AR80" s="30">
        <f>SUM(Table_2021_CIP[[#This Row],[TotalYR1]:[32-33]])</f>
        <v>2849811</v>
      </c>
      <c r="AS80" s="30">
        <f>SUM(Table_2021_CIP[[#This Row],[TotalYR1]:[47-48]])</f>
        <v>2849811</v>
      </c>
      <c r="AT80" s="24">
        <f>SUM(Table_2021_CIP[[#This Row],[22-23]:[47-48]])</f>
        <v>2849811</v>
      </c>
    </row>
    <row r="81" spans="1:46" ht="12.75" customHeight="1" x14ac:dyDescent="0.25">
      <c r="A81" s="25">
        <f t="shared" si="3"/>
        <v>73</v>
      </c>
      <c r="B81" t="s">
        <v>81</v>
      </c>
      <c r="C81" t="b">
        <v>0</v>
      </c>
      <c r="D81">
        <v>130</v>
      </c>
      <c r="E81">
        <v>130</v>
      </c>
      <c r="F81" t="b">
        <v>1</v>
      </c>
      <c r="G81" t="s">
        <v>107</v>
      </c>
      <c r="H81" t="s">
        <v>252</v>
      </c>
      <c r="I81" s="26" t="s">
        <v>253</v>
      </c>
      <c r="J81"/>
      <c r="K81" t="s">
        <v>73</v>
      </c>
      <c r="L81" t="s">
        <v>85</v>
      </c>
      <c r="M81" s="27">
        <v>1</v>
      </c>
      <c r="N81" s="28">
        <v>7</v>
      </c>
      <c r="O81" s="29" t="str">
        <f>IF(Table_2021_CIP[[#This Row],[Column2]]&lt;10,"A",IF(Table_2021_CIP[[#This Row],[Column2]]&gt;19,"C","B"))</f>
        <v>A</v>
      </c>
      <c r="P81" t="s">
        <v>254</v>
      </c>
      <c r="Q81" s="30"/>
      <c r="R81" s="30">
        <v>0</v>
      </c>
      <c r="S81" s="30">
        <v>0</v>
      </c>
      <c r="T81" s="30"/>
      <c r="U81" s="30"/>
      <c r="V81" s="30"/>
      <c r="W81" s="30">
        <v>52000</v>
      </c>
      <c r="X81" s="30">
        <v>663000</v>
      </c>
      <c r="Y81" s="30">
        <v>2650000</v>
      </c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>
        <f>Table_2021_CIP[[#This Row],[TotalYR1]]+S81</f>
        <v>0</v>
      </c>
      <c r="AR81" s="30">
        <f>SUM(Table_2021_CIP[[#This Row],[TotalYR1]:[32-33]])</f>
        <v>3365000</v>
      </c>
      <c r="AS81" s="30">
        <f>SUM(Table_2021_CIP[[#This Row],[TotalYR1]:[47-48]])</f>
        <v>3365000</v>
      </c>
      <c r="AT81" s="24">
        <f>SUM(Table_2021_CIP[[#This Row],[22-23]:[47-48]])</f>
        <v>3365000</v>
      </c>
    </row>
    <row r="82" spans="1:46" ht="12.75" customHeight="1" x14ac:dyDescent="0.25">
      <c r="A82" s="25">
        <f t="shared" si="3"/>
        <v>74</v>
      </c>
      <c r="B82" t="s">
        <v>81</v>
      </c>
      <c r="C82" t="b">
        <v>0</v>
      </c>
      <c r="D82">
        <v>130</v>
      </c>
      <c r="E82">
        <v>130</v>
      </c>
      <c r="F82" t="b">
        <v>0</v>
      </c>
      <c r="G82" t="s">
        <v>101</v>
      </c>
      <c r="H82" t="s">
        <v>255</v>
      </c>
      <c r="I82" s="26" t="s">
        <v>256</v>
      </c>
      <c r="J82"/>
      <c r="K82" t="s">
        <v>73</v>
      </c>
      <c r="L82" t="s">
        <v>85</v>
      </c>
      <c r="M82" s="27">
        <v>0.5</v>
      </c>
      <c r="N82" s="28">
        <v>26</v>
      </c>
      <c r="O82" s="29" t="str">
        <f>IF(Table_2021_CIP[[#This Row],[Column2]]&lt;10,"A",IF(Table_2021_CIP[[#This Row],[Column2]]&gt;19,"C","B"))</f>
        <v>C</v>
      </c>
      <c r="P82" t="s">
        <v>257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266000</v>
      </c>
      <c r="AF82" s="30">
        <v>515000</v>
      </c>
      <c r="AG82" s="30">
        <v>548000</v>
      </c>
      <c r="AH82" s="30">
        <v>0</v>
      </c>
      <c r="AI82" s="30">
        <v>0</v>
      </c>
      <c r="AJ82" s="30">
        <v>0</v>
      </c>
      <c r="AK82" s="30">
        <v>0</v>
      </c>
      <c r="AL82" s="30">
        <v>0</v>
      </c>
      <c r="AM82" s="30">
        <v>0</v>
      </c>
      <c r="AN82" s="30">
        <v>0</v>
      </c>
      <c r="AO82" s="30">
        <v>0</v>
      </c>
      <c r="AP82" s="30">
        <v>0</v>
      </c>
      <c r="AQ82" s="30">
        <f>Table_2021_CIP[[#This Row],[TotalYR1]]+S82</f>
        <v>0</v>
      </c>
      <c r="AR82" s="30">
        <f>SUM(Table_2021_CIP[[#This Row],[TotalYR1]:[32-33]])</f>
        <v>0</v>
      </c>
      <c r="AS82" s="30">
        <f>SUM(Table_2021_CIP[[#This Row],[TotalYR1]:[47-48]])</f>
        <v>1329000</v>
      </c>
      <c r="AT82" s="24">
        <f>SUM(Table_2021_CIP[[#This Row],[22-23]:[47-48]])</f>
        <v>1329000</v>
      </c>
    </row>
    <row r="83" spans="1:46" ht="12.75" customHeight="1" x14ac:dyDescent="0.25">
      <c r="A83" s="25">
        <f t="shared" si="3"/>
        <v>75</v>
      </c>
      <c r="B83" t="s">
        <v>81</v>
      </c>
      <c r="C83" t="b">
        <v>0</v>
      </c>
      <c r="D83">
        <v>253</v>
      </c>
      <c r="E83">
        <v>130</v>
      </c>
      <c r="F83" t="b">
        <v>0</v>
      </c>
      <c r="G83" t="s">
        <v>107</v>
      </c>
      <c r="H83" t="s">
        <v>258</v>
      </c>
      <c r="I83" s="26" t="s">
        <v>259</v>
      </c>
      <c r="J83"/>
      <c r="K83" t="s">
        <v>73</v>
      </c>
      <c r="L83" t="s">
        <v>85</v>
      </c>
      <c r="M83" s="27">
        <v>0.10000000149011599</v>
      </c>
      <c r="N83" s="28">
        <v>7</v>
      </c>
      <c r="O83" s="29" t="str">
        <f>IF(Table_2021_CIP[[#This Row],[Column2]]&lt;10,"A",IF(Table_2021_CIP[[#This Row],[Column2]]&gt;19,"C","B"))</f>
        <v>A</v>
      </c>
      <c r="P83" t="s">
        <v>260</v>
      </c>
      <c r="Q83" s="30"/>
      <c r="R83" s="30"/>
      <c r="S83" s="30"/>
      <c r="T83" s="30"/>
      <c r="U83" s="30"/>
      <c r="V83" s="30"/>
      <c r="W83" s="30">
        <v>230144</v>
      </c>
      <c r="X83" s="30">
        <v>1066080</v>
      </c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>
        <f>Table_2021_CIP[[#This Row],[TotalYR1]]+S83</f>
        <v>0</v>
      </c>
      <c r="AR83" s="30">
        <f>SUM(Table_2021_CIP[[#This Row],[TotalYR1]:[32-33]])</f>
        <v>1296224</v>
      </c>
      <c r="AS83" s="30">
        <f>SUM(Table_2021_CIP[[#This Row],[TotalYR1]:[47-48]])</f>
        <v>1296224</v>
      </c>
      <c r="AT83" s="24">
        <f>SUM(Table_2021_CIP[[#This Row],[22-23]:[47-48]])</f>
        <v>1296224</v>
      </c>
    </row>
    <row r="84" spans="1:46" ht="12.75" customHeight="1" x14ac:dyDescent="0.25">
      <c r="A84" s="25">
        <f t="shared" si="3"/>
        <v>76</v>
      </c>
      <c r="B84" t="s">
        <v>81</v>
      </c>
      <c r="C84" t="b">
        <v>0</v>
      </c>
      <c r="D84">
        <v>130</v>
      </c>
      <c r="E84">
        <v>130</v>
      </c>
      <c r="F84" t="b">
        <v>0</v>
      </c>
      <c r="G84" t="s">
        <v>107</v>
      </c>
      <c r="H84" t="s">
        <v>261</v>
      </c>
      <c r="I84" s="26" t="s">
        <v>262</v>
      </c>
      <c r="J84" t="s">
        <v>147</v>
      </c>
      <c r="K84" t="s">
        <v>73</v>
      </c>
      <c r="L84" t="s">
        <v>85</v>
      </c>
      <c r="M84" s="27">
        <v>0</v>
      </c>
      <c r="N84" s="28">
        <v>10</v>
      </c>
      <c r="O84" s="29" t="str">
        <f>IF(Table_2021_CIP[[#This Row],[Column2]]&lt;10,"A",IF(Table_2021_CIP[[#This Row],[Column2]]&gt;19,"C","B"))</f>
        <v>B</v>
      </c>
      <c r="P84" s="32" t="s">
        <v>263</v>
      </c>
      <c r="Q84" s="30">
        <v>0</v>
      </c>
      <c r="R84" s="30"/>
      <c r="S84" s="30">
        <v>0</v>
      </c>
      <c r="T84" s="30">
        <v>329571.1973</v>
      </c>
      <c r="U84" s="30"/>
      <c r="V84" s="30"/>
      <c r="W84" s="30">
        <v>0</v>
      </c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>
        <f>Table_2021_CIP[[#This Row],[TotalYR1]]+S84</f>
        <v>0</v>
      </c>
      <c r="AR84" s="30">
        <f>SUM(Table_2021_CIP[[#This Row],[TotalYR1]:[32-33]])</f>
        <v>329571.1973</v>
      </c>
      <c r="AS84" s="30">
        <f>SUM(Table_2021_CIP[[#This Row],[TotalYR1]:[47-48]])</f>
        <v>329571.1973</v>
      </c>
      <c r="AT84" s="24">
        <f>SUM(Table_2021_CIP[[#This Row],[22-23]:[47-48]])</f>
        <v>329571.1973</v>
      </c>
    </row>
    <row r="85" spans="1:46" ht="12.75" customHeight="1" x14ac:dyDescent="0.25">
      <c r="A85" s="25">
        <f t="shared" si="3"/>
        <v>77</v>
      </c>
      <c r="B85" t="s">
        <v>81</v>
      </c>
      <c r="C85" t="b">
        <v>0</v>
      </c>
      <c r="D85">
        <v>130</v>
      </c>
      <c r="E85">
        <v>130</v>
      </c>
      <c r="F85" t="b">
        <v>0</v>
      </c>
      <c r="G85" t="s">
        <v>107</v>
      </c>
      <c r="H85" t="s">
        <v>264</v>
      </c>
      <c r="I85" s="26" t="s">
        <v>265</v>
      </c>
      <c r="J85" t="s">
        <v>147</v>
      </c>
      <c r="K85" t="s">
        <v>73</v>
      </c>
      <c r="L85" t="s">
        <v>85</v>
      </c>
      <c r="M85" s="27">
        <v>0.22600000000000001</v>
      </c>
      <c r="N85" s="28">
        <v>1</v>
      </c>
      <c r="O85" s="29" t="str">
        <f>IF(Table_2021_CIP[[#This Row],[Column2]]&lt;10,"A",IF(Table_2021_CIP[[#This Row],[Column2]]&gt;19,"C","B"))</f>
        <v>A</v>
      </c>
      <c r="P85" t="s">
        <v>266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584648.18000000005</v>
      </c>
      <c r="W85" s="30">
        <f>11059334.49/2</f>
        <v>5529667.2450000001</v>
      </c>
      <c r="X85" s="30">
        <v>5529667.25</v>
      </c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>
        <f>Table_2021_CIP[[#This Row],[TotalYR1]]+S85</f>
        <v>0</v>
      </c>
      <c r="AR85" s="30">
        <f>SUM(Table_2021_CIP[[#This Row],[TotalYR1]:[32-33]])</f>
        <v>11643982.675000001</v>
      </c>
      <c r="AS85" s="30">
        <f>SUM(Table_2021_CIP[[#This Row],[TotalYR1]:[47-48]])</f>
        <v>11643982.675000001</v>
      </c>
      <c r="AT85" s="24">
        <f>SUM(Table_2021_CIP[[#This Row],[22-23]:[47-48]])</f>
        <v>11643982.675000001</v>
      </c>
    </row>
    <row r="86" spans="1:46" ht="12.75" customHeight="1" x14ac:dyDescent="0.25">
      <c r="A86" s="25">
        <f t="shared" si="3"/>
        <v>78</v>
      </c>
      <c r="B86"/>
      <c r="C86" t="b">
        <v>0</v>
      </c>
      <c r="D86">
        <v>130</v>
      </c>
      <c r="E86">
        <v>130</v>
      </c>
      <c r="F86" t="b">
        <v>0</v>
      </c>
      <c r="G86" t="s">
        <v>156</v>
      </c>
      <c r="H86" t="s">
        <v>267</v>
      </c>
      <c r="I86" s="26" t="s">
        <v>268</v>
      </c>
      <c r="J86" t="s">
        <v>147</v>
      </c>
      <c r="K86" t="s">
        <v>73</v>
      </c>
      <c r="L86" t="s">
        <v>85</v>
      </c>
      <c r="M86" s="27">
        <v>0.22600000000000001</v>
      </c>
      <c r="N86" s="28">
        <v>1</v>
      </c>
      <c r="O86" s="29" t="str">
        <f>IF(Table_2021_CIP[[#This Row],[Column2]]&lt;10,"A",IF(Table_2021_CIP[[#This Row],[Column2]]&gt;19,"C","B"))</f>
        <v>A</v>
      </c>
      <c r="P86" t="s">
        <v>269</v>
      </c>
      <c r="Q86" s="30">
        <v>0</v>
      </c>
      <c r="R86" s="30">
        <v>0</v>
      </c>
      <c r="S86" s="30">
        <v>0</v>
      </c>
      <c r="T86" s="30">
        <v>334733.76</v>
      </c>
      <c r="U86" s="30">
        <v>334733.76</v>
      </c>
      <c r="V86" s="30">
        <v>14714849.689999999</v>
      </c>
      <c r="W86" s="30"/>
      <c r="X86" s="30"/>
      <c r="Y86" s="30"/>
      <c r="Z86" s="30">
        <v>0</v>
      </c>
      <c r="AA86" s="30">
        <v>0</v>
      </c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>
        <f>Table_2021_CIP[[#This Row],[TotalYR1]]+S86</f>
        <v>0</v>
      </c>
      <c r="AR86" s="30">
        <f>SUM(Table_2021_CIP[[#This Row],[TotalYR1]:[32-33]])</f>
        <v>15384317.209999999</v>
      </c>
      <c r="AS86" s="30">
        <f>SUM(Table_2021_CIP[[#This Row],[TotalYR1]:[47-48]])</f>
        <v>15384317.209999999</v>
      </c>
      <c r="AT86" s="24">
        <f>SUM(Table_2021_CIP[[#This Row],[22-23]:[47-48]])</f>
        <v>15384317.209999999</v>
      </c>
    </row>
    <row r="87" spans="1:46" ht="12.75" customHeight="1" x14ac:dyDescent="0.25">
      <c r="A87" s="25">
        <f t="shared" si="3"/>
        <v>79</v>
      </c>
      <c r="B87" t="s">
        <v>81</v>
      </c>
      <c r="C87" t="b">
        <v>0</v>
      </c>
      <c r="D87">
        <v>240</v>
      </c>
      <c r="E87">
        <v>130</v>
      </c>
      <c r="F87" t="b">
        <v>0</v>
      </c>
      <c r="G87" t="s">
        <v>93</v>
      </c>
      <c r="H87" t="s">
        <v>270</v>
      </c>
      <c r="I87" s="26" t="s">
        <v>271</v>
      </c>
      <c r="J87" t="s">
        <v>147</v>
      </c>
      <c r="K87" t="s">
        <v>73</v>
      </c>
      <c r="L87" t="s">
        <v>85</v>
      </c>
      <c r="M87" s="27">
        <v>0.22600000000000001</v>
      </c>
      <c r="N87" s="28">
        <v>11</v>
      </c>
      <c r="O87" s="29" t="str">
        <f>IF(Table_2021_CIP[[#This Row],[Column2]]&lt;10,"A",IF(Table_2021_CIP[[#This Row],[Column2]]&gt;19,"C","B"))</f>
        <v>B</v>
      </c>
      <c r="P87" t="s">
        <v>272</v>
      </c>
      <c r="Q87" s="30">
        <v>0</v>
      </c>
      <c r="R87" s="30">
        <v>0</v>
      </c>
      <c r="S87" s="30">
        <v>0</v>
      </c>
      <c r="T87" s="30"/>
      <c r="U87" s="30">
        <v>630128</v>
      </c>
      <c r="V87" s="30">
        <v>630128</v>
      </c>
      <c r="W87" s="30">
        <v>4385217</v>
      </c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>
        <f>Table_2021_CIP[[#This Row],[TotalYR1]]+S87</f>
        <v>0</v>
      </c>
      <c r="AR87" s="30">
        <f>SUM(Table_2021_CIP[[#This Row],[TotalYR1]:[32-33]])</f>
        <v>5645473</v>
      </c>
      <c r="AS87" s="30">
        <f>SUM(Table_2021_CIP[[#This Row],[TotalYR1]:[47-48]])</f>
        <v>5645473</v>
      </c>
      <c r="AT87" s="24">
        <f>SUM(Table_2021_CIP[[#This Row],[22-23]:[47-48]])</f>
        <v>5645473</v>
      </c>
    </row>
    <row r="88" spans="1:46" ht="12.75" customHeight="1" x14ac:dyDescent="0.25">
      <c r="A88" s="25">
        <f t="shared" si="3"/>
        <v>80</v>
      </c>
      <c r="B88"/>
      <c r="C88" t="b">
        <v>0</v>
      </c>
      <c r="D88">
        <v>130</v>
      </c>
      <c r="E88">
        <v>130</v>
      </c>
      <c r="F88" t="b">
        <v>0</v>
      </c>
      <c r="G88" t="s">
        <v>101</v>
      </c>
      <c r="H88" t="s">
        <v>273</v>
      </c>
      <c r="I88" s="26" t="s">
        <v>274</v>
      </c>
      <c r="J88" t="s">
        <v>147</v>
      </c>
      <c r="K88" t="s">
        <v>73</v>
      </c>
      <c r="L88" t="s">
        <v>85</v>
      </c>
      <c r="M88" s="27">
        <v>0.22600000000000001</v>
      </c>
      <c r="N88" s="28">
        <v>1</v>
      </c>
      <c r="O88" s="29" t="str">
        <f>IF(Table_2021_CIP[[#This Row],[Column2]]&lt;10,"A",IF(Table_2021_CIP[[#This Row],[Column2]]&gt;19,"C","B"))</f>
        <v>A</v>
      </c>
      <c r="P88" t="s">
        <v>275</v>
      </c>
      <c r="Q88" s="30">
        <v>0</v>
      </c>
      <c r="R88" s="30">
        <v>0</v>
      </c>
      <c r="S88" s="30">
        <v>0</v>
      </c>
      <c r="T88" s="30"/>
      <c r="U88" s="30">
        <v>50617.05</v>
      </c>
      <c r="V88" s="30">
        <v>50617.05</v>
      </c>
      <c r="W88" s="30">
        <v>2417194.21</v>
      </c>
      <c r="X88" s="30">
        <v>0</v>
      </c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>
        <f>Table_2021_CIP[[#This Row],[TotalYR1]]+S88</f>
        <v>0</v>
      </c>
      <c r="AR88" s="30">
        <f>SUM(Table_2021_CIP[[#This Row],[TotalYR1]:[32-33]])</f>
        <v>2518428.31</v>
      </c>
      <c r="AS88" s="30">
        <f>SUM(Table_2021_CIP[[#This Row],[TotalYR1]:[47-48]])</f>
        <v>2518428.31</v>
      </c>
      <c r="AT88" s="24">
        <f>SUM(Table_2021_CIP[[#This Row],[22-23]:[47-48]])</f>
        <v>2518428.31</v>
      </c>
    </row>
    <row r="89" spans="1:46" ht="12.75" customHeight="1" x14ac:dyDescent="0.25">
      <c r="A89" s="25">
        <f t="shared" si="3"/>
        <v>81</v>
      </c>
      <c r="B89" t="s">
        <v>81</v>
      </c>
      <c r="C89" t="b">
        <v>0</v>
      </c>
      <c r="D89">
        <v>130</v>
      </c>
      <c r="E89">
        <v>130</v>
      </c>
      <c r="F89" t="b">
        <v>0</v>
      </c>
      <c r="G89" t="s">
        <v>165</v>
      </c>
      <c r="H89" t="s">
        <v>276</v>
      </c>
      <c r="I89" s="26" t="s">
        <v>277</v>
      </c>
      <c r="J89"/>
      <c r="K89" t="s">
        <v>73</v>
      </c>
      <c r="L89" t="s">
        <v>85</v>
      </c>
      <c r="M89" s="27">
        <v>0.80000001192092896</v>
      </c>
      <c r="N89" s="28">
        <v>1</v>
      </c>
      <c r="O89" s="29" t="str">
        <f>IF(Table_2021_CIP[[#This Row],[Column2]]&lt;10,"A",IF(Table_2021_CIP[[#This Row],[Column2]]&gt;19,"C","B"))</f>
        <v>A</v>
      </c>
      <c r="P89" t="s">
        <v>278</v>
      </c>
      <c r="Q89" s="30"/>
      <c r="R89" s="30">
        <v>0</v>
      </c>
      <c r="S89" s="30">
        <v>0</v>
      </c>
      <c r="T89" s="30"/>
      <c r="U89" s="30"/>
      <c r="V89" s="30"/>
      <c r="W89" s="30"/>
      <c r="X89" s="30"/>
      <c r="Y89" s="30"/>
      <c r="Z89" s="30">
        <v>710740.84</v>
      </c>
      <c r="AA89" s="30">
        <v>11219533.710000001</v>
      </c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>
        <f>Table_2021_CIP[[#This Row],[TotalYR1]]+S89</f>
        <v>0</v>
      </c>
      <c r="AR89" s="30">
        <f>SUM(Table_2021_CIP[[#This Row],[TotalYR1]:[32-33]])</f>
        <v>11930274.550000001</v>
      </c>
      <c r="AS89" s="30">
        <f>SUM(Table_2021_CIP[[#This Row],[TotalYR1]:[47-48]])</f>
        <v>11930274.550000001</v>
      </c>
      <c r="AT89" s="24">
        <f>SUM(Table_2021_CIP[[#This Row],[22-23]:[47-48]])</f>
        <v>11930274.550000001</v>
      </c>
    </row>
    <row r="90" spans="1:46" ht="12.75" customHeight="1" x14ac:dyDescent="0.25">
      <c r="A90" s="25">
        <f t="shared" si="3"/>
        <v>82</v>
      </c>
      <c r="B90" t="s">
        <v>81</v>
      </c>
      <c r="C90" t="b">
        <v>0</v>
      </c>
      <c r="D90">
        <v>130</v>
      </c>
      <c r="E90">
        <v>130</v>
      </c>
      <c r="F90" t="b">
        <v>0</v>
      </c>
      <c r="G90" t="s">
        <v>107</v>
      </c>
      <c r="H90" t="s">
        <v>279</v>
      </c>
      <c r="I90" s="26" t="s">
        <v>280</v>
      </c>
      <c r="J90"/>
      <c r="K90" t="s">
        <v>73</v>
      </c>
      <c r="L90" t="s">
        <v>85</v>
      </c>
      <c r="M90" s="27">
        <v>0.80000001192092896</v>
      </c>
      <c r="N90" s="28">
        <v>25</v>
      </c>
      <c r="O90" s="29" t="str">
        <f>IF(Table_2021_CIP[[#This Row],[Column2]]&lt;10,"A",IF(Table_2021_CIP[[#This Row],[Column2]]&gt;19,"C","B"))</f>
        <v>C</v>
      </c>
      <c r="P90" t="s">
        <v>281</v>
      </c>
      <c r="Q90" s="30"/>
      <c r="R90" s="30">
        <v>0</v>
      </c>
      <c r="S90" s="30">
        <v>0</v>
      </c>
      <c r="T90" s="30">
        <v>515000</v>
      </c>
      <c r="U90" s="30">
        <v>2524000</v>
      </c>
      <c r="V90" s="30">
        <v>567000</v>
      </c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>
        <f>Table_2021_CIP[[#This Row],[TotalYR1]]+S90</f>
        <v>0</v>
      </c>
      <c r="AR90" s="30">
        <f>SUM(Table_2021_CIP[[#This Row],[TotalYR1]:[32-33]])</f>
        <v>3606000</v>
      </c>
      <c r="AS90" s="30">
        <f>SUM(Table_2021_CIP[[#This Row],[TotalYR1]:[47-48]])</f>
        <v>3606000</v>
      </c>
      <c r="AT90" s="24">
        <f>SUM(Table_2021_CIP[[#This Row],[22-23]:[47-48]])</f>
        <v>3606000</v>
      </c>
    </row>
    <row r="91" spans="1:46" ht="12.75" customHeight="1" x14ac:dyDescent="0.25">
      <c r="A91" s="25">
        <f t="shared" si="3"/>
        <v>83</v>
      </c>
      <c r="B91" t="s">
        <v>81</v>
      </c>
      <c r="C91" t="b">
        <v>0</v>
      </c>
      <c r="D91">
        <v>130</v>
      </c>
      <c r="E91">
        <v>130</v>
      </c>
      <c r="F91" t="b">
        <v>0</v>
      </c>
      <c r="G91" t="s">
        <v>101</v>
      </c>
      <c r="H91" t="s">
        <v>282</v>
      </c>
      <c r="I91" s="26" t="s">
        <v>283</v>
      </c>
      <c r="J91"/>
      <c r="K91" t="s">
        <v>73</v>
      </c>
      <c r="L91" t="s">
        <v>85</v>
      </c>
      <c r="M91" s="27">
        <v>0.22600000000000001</v>
      </c>
      <c r="N91" s="28">
        <v>25</v>
      </c>
      <c r="O91" s="29" t="str">
        <f>IF(Table_2021_CIP[[#This Row],[Column2]]&lt;10,"A",IF(Table_2021_CIP[[#This Row],[Column2]]&gt;19,"C","B"))</f>
        <v>C</v>
      </c>
      <c r="P91" t="s">
        <v>284</v>
      </c>
      <c r="Q91" s="30"/>
      <c r="R91" s="30">
        <v>0</v>
      </c>
      <c r="S91" s="30">
        <v>0</v>
      </c>
      <c r="T91" s="30"/>
      <c r="U91" s="30"/>
      <c r="V91" s="30"/>
      <c r="W91" s="30"/>
      <c r="X91" s="30"/>
      <c r="Y91" s="30">
        <v>1648300.49</v>
      </c>
      <c r="Z91" s="30">
        <v>4120751.23</v>
      </c>
      <c r="AA91" s="30">
        <v>2472450.7400000002</v>
      </c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>
        <f>Table_2021_CIP[[#This Row],[TotalYR1]]+S91</f>
        <v>0</v>
      </c>
      <c r="AR91" s="30">
        <f>SUM(Table_2021_CIP[[#This Row],[TotalYR1]:[32-33]])</f>
        <v>8241502.46</v>
      </c>
      <c r="AS91" s="30">
        <f>SUM(Table_2021_CIP[[#This Row],[TotalYR1]:[47-48]])</f>
        <v>8241502.46</v>
      </c>
      <c r="AT91" s="24">
        <f>SUM(Table_2021_CIP[[#This Row],[22-23]:[47-48]])</f>
        <v>8241502.46</v>
      </c>
    </row>
    <row r="92" spans="1:46" ht="12.75" customHeight="1" x14ac:dyDescent="0.25">
      <c r="A92" s="25">
        <f t="shared" si="3"/>
        <v>84</v>
      </c>
      <c r="B92" t="s">
        <v>100</v>
      </c>
      <c r="C92" t="b">
        <v>0</v>
      </c>
      <c r="D92">
        <v>130</v>
      </c>
      <c r="E92">
        <v>130</v>
      </c>
      <c r="F92" t="b">
        <v>0</v>
      </c>
      <c r="G92" t="s">
        <v>107</v>
      </c>
      <c r="H92" t="s">
        <v>285</v>
      </c>
      <c r="I92" s="26" t="s">
        <v>286</v>
      </c>
      <c r="J92"/>
      <c r="K92" t="s">
        <v>73</v>
      </c>
      <c r="L92" t="s">
        <v>85</v>
      </c>
      <c r="M92" s="27">
        <v>0.75</v>
      </c>
      <c r="N92" s="28">
        <v>22</v>
      </c>
      <c r="O92" s="29" t="str">
        <f>IF(Table_2021_CIP[[#This Row],[Column2]]&lt;10,"A",IF(Table_2021_CIP[[#This Row],[Column2]]&gt;19,"C","B"))</f>
        <v>C</v>
      </c>
      <c r="P92" t="s">
        <v>287</v>
      </c>
      <c r="Q92" s="30"/>
      <c r="R92" s="30">
        <v>20000</v>
      </c>
      <c r="S92" s="30">
        <v>10000</v>
      </c>
      <c r="T92" s="30"/>
      <c r="U92" s="30"/>
      <c r="V92" s="30"/>
      <c r="W92" s="30"/>
      <c r="X92" s="30"/>
      <c r="Y92" s="30"/>
      <c r="Z92" s="30">
        <v>794154.17</v>
      </c>
      <c r="AA92" s="30">
        <v>794154.17</v>
      </c>
      <c r="AB92" s="30">
        <v>794154.17</v>
      </c>
      <c r="AC92" s="30">
        <v>794154.17</v>
      </c>
      <c r="AD92" s="30">
        <v>24059745.460000001</v>
      </c>
      <c r="AE92" s="30">
        <v>23399391.989999998</v>
      </c>
      <c r="AF92" s="30">
        <v>4863575.41</v>
      </c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>
        <f>Table_2021_CIP[[#This Row],[TotalYR1]]+S92</f>
        <v>30000</v>
      </c>
      <c r="AR92" s="30">
        <f>SUM(Table_2021_CIP[[#This Row],[TotalYR1]:[32-33]])</f>
        <v>1618308.34</v>
      </c>
      <c r="AS92" s="30">
        <f>SUM(Table_2021_CIP[[#This Row],[TotalYR1]:[47-48]])</f>
        <v>55529329.539999992</v>
      </c>
      <c r="AT92" s="24">
        <f>SUM(Table_2021_CIP[[#This Row],[22-23]:[47-48]])</f>
        <v>55529329.539999992</v>
      </c>
    </row>
    <row r="93" spans="1:46" ht="12.75" customHeight="1" x14ac:dyDescent="0.25">
      <c r="A93" s="25">
        <f t="shared" si="3"/>
        <v>85</v>
      </c>
      <c r="B93" t="s">
        <v>81</v>
      </c>
      <c r="C93" t="b">
        <v>0</v>
      </c>
      <c r="D93">
        <v>253</v>
      </c>
      <c r="E93">
        <v>130</v>
      </c>
      <c r="F93" t="b">
        <v>0</v>
      </c>
      <c r="G93" t="s">
        <v>165</v>
      </c>
      <c r="H93" t="s">
        <v>288</v>
      </c>
      <c r="I93" s="26" t="s">
        <v>289</v>
      </c>
      <c r="J93"/>
      <c r="K93" t="s">
        <v>73</v>
      </c>
      <c r="L93" t="s">
        <v>85</v>
      </c>
      <c r="M93" s="27">
        <v>0.10000000149011599</v>
      </c>
      <c r="N93" s="28">
        <v>16</v>
      </c>
      <c r="O93" s="29" t="str">
        <f>IF(Table_2021_CIP[[#This Row],[Column2]]&lt;10,"A",IF(Table_2021_CIP[[#This Row],[Column2]]&gt;19,"C","B"))</f>
        <v>B</v>
      </c>
      <c r="P93" t="s">
        <v>290</v>
      </c>
      <c r="Q93" s="30">
        <v>0</v>
      </c>
      <c r="R93" s="30"/>
      <c r="S93" s="30"/>
      <c r="T93" s="30"/>
      <c r="U93" s="30"/>
      <c r="V93" s="30">
        <v>104136</v>
      </c>
      <c r="W93" s="30">
        <v>296992</v>
      </c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>
        <f>Table_2021_CIP[[#This Row],[TotalYR1]]+S93</f>
        <v>0</v>
      </c>
      <c r="AR93" s="30">
        <f>SUM(Table_2021_CIP[[#This Row],[TotalYR1]:[32-33]])</f>
        <v>401128</v>
      </c>
      <c r="AS93" s="30">
        <f>SUM(Table_2021_CIP[[#This Row],[TotalYR1]:[47-48]])</f>
        <v>401128</v>
      </c>
      <c r="AT93" s="24">
        <f>SUM(Table_2021_CIP[[#This Row],[22-23]:[47-48]])</f>
        <v>401128</v>
      </c>
    </row>
    <row r="94" spans="1:46" ht="12.75" customHeight="1" x14ac:dyDescent="0.25">
      <c r="A94" s="25">
        <f t="shared" si="3"/>
        <v>86</v>
      </c>
      <c r="B94" t="s">
        <v>92</v>
      </c>
      <c r="C94" t="b">
        <v>0</v>
      </c>
      <c r="D94">
        <v>253</v>
      </c>
      <c r="E94">
        <v>130</v>
      </c>
      <c r="F94" t="b">
        <v>0</v>
      </c>
      <c r="G94" t="s">
        <v>82</v>
      </c>
      <c r="H94" t="s">
        <v>291</v>
      </c>
      <c r="I94" s="26" t="s">
        <v>292</v>
      </c>
      <c r="J94"/>
      <c r="K94" t="s">
        <v>73</v>
      </c>
      <c r="L94" t="s">
        <v>85</v>
      </c>
      <c r="M94" s="27">
        <v>0.22600000000000001</v>
      </c>
      <c r="N94" s="28">
        <v>27</v>
      </c>
      <c r="O94" s="29" t="str">
        <f>IF(Table_2021_CIP[[#This Row],[Column2]]&lt;10,"A",IF(Table_2021_CIP[[#This Row],[Column2]]&gt;19,"C","B"))</f>
        <v>C</v>
      </c>
      <c r="P94" t="s">
        <v>293</v>
      </c>
      <c r="Q94" s="30">
        <v>0</v>
      </c>
      <c r="R94" s="30">
        <v>0</v>
      </c>
      <c r="S94" s="30">
        <v>0</v>
      </c>
      <c r="T94" s="30"/>
      <c r="U94" s="30"/>
      <c r="V94" s="30"/>
      <c r="W94" s="30">
        <v>196641</v>
      </c>
      <c r="X94" s="30">
        <v>642862</v>
      </c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>
        <f>Table_2021_CIP[[#This Row],[TotalYR1]]+S94</f>
        <v>0</v>
      </c>
      <c r="AR94" s="30">
        <f>SUM(Table_2021_CIP[[#This Row],[TotalYR1]:[32-33]])</f>
        <v>839503</v>
      </c>
      <c r="AS94" s="30">
        <f>SUM(Table_2021_CIP[[#This Row],[TotalYR1]:[47-48]])</f>
        <v>839503</v>
      </c>
      <c r="AT94" s="24">
        <f>SUM(Table_2021_CIP[[#This Row],[22-23]:[47-48]])</f>
        <v>839503</v>
      </c>
    </row>
    <row r="95" spans="1:46" ht="12.75" customHeight="1" x14ac:dyDescent="0.25">
      <c r="A95" s="25">
        <f t="shared" si="3"/>
        <v>87</v>
      </c>
      <c r="B95" t="s">
        <v>81</v>
      </c>
      <c r="C95" t="b">
        <v>0</v>
      </c>
      <c r="D95">
        <v>740</v>
      </c>
      <c r="E95">
        <v>130</v>
      </c>
      <c r="F95" t="b">
        <v>0</v>
      </c>
      <c r="G95" t="s">
        <v>156</v>
      </c>
      <c r="H95" t="s">
        <v>294</v>
      </c>
      <c r="I95" s="26" t="s">
        <v>295</v>
      </c>
      <c r="J95"/>
      <c r="K95" t="s">
        <v>73</v>
      </c>
      <c r="L95" t="s">
        <v>85</v>
      </c>
      <c r="M95" s="27">
        <v>0.22600000000000001</v>
      </c>
      <c r="N95" s="28">
        <v>10</v>
      </c>
      <c r="O95" s="29" t="str">
        <f>IF(Table_2021_CIP[[#This Row],[Column2]]&lt;10,"A",IF(Table_2021_CIP[[#This Row],[Column2]]&gt;19,"C","B"))</f>
        <v>B</v>
      </c>
      <c r="P95" t="s">
        <v>296</v>
      </c>
      <c r="Q95" s="30">
        <v>0</v>
      </c>
      <c r="R95" s="30">
        <v>0</v>
      </c>
      <c r="S95" s="30">
        <v>0</v>
      </c>
      <c r="T95" s="30"/>
      <c r="U95" s="30"/>
      <c r="V95" s="30">
        <v>0</v>
      </c>
      <c r="W95" s="30">
        <v>0</v>
      </c>
      <c r="X95" s="30">
        <v>0</v>
      </c>
      <c r="Y95" s="30">
        <v>0</v>
      </c>
      <c r="Z95" s="30">
        <v>164000</v>
      </c>
      <c r="AA95" s="30">
        <v>1067000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G95" s="30">
        <v>0</v>
      </c>
      <c r="AH95" s="30">
        <v>0</v>
      </c>
      <c r="AI95" s="30">
        <v>0</v>
      </c>
      <c r="AJ95" s="30">
        <v>0</v>
      </c>
      <c r="AK95" s="30">
        <v>0</v>
      </c>
      <c r="AL95" s="30">
        <v>0</v>
      </c>
      <c r="AM95" s="30">
        <v>0</v>
      </c>
      <c r="AN95" s="30">
        <v>0</v>
      </c>
      <c r="AO95" s="30">
        <v>0</v>
      </c>
      <c r="AP95" s="30">
        <v>0</v>
      </c>
      <c r="AQ95" s="30">
        <f>Table_2021_CIP[[#This Row],[TotalYR1]]+S95</f>
        <v>0</v>
      </c>
      <c r="AR95" s="30">
        <f>SUM(Table_2021_CIP[[#This Row],[TotalYR1]:[32-33]])</f>
        <v>1231000</v>
      </c>
      <c r="AS95" s="30">
        <f>SUM(Table_2021_CIP[[#This Row],[TotalYR1]:[47-48]])</f>
        <v>1231000</v>
      </c>
      <c r="AT95" s="24">
        <f>SUM(Table_2021_CIP[[#This Row],[22-23]:[47-48]])</f>
        <v>1231000</v>
      </c>
    </row>
    <row r="96" spans="1:46" ht="12.75" customHeight="1" x14ac:dyDescent="0.25">
      <c r="A96" s="25">
        <f t="shared" si="3"/>
        <v>88</v>
      </c>
      <c r="B96" t="s">
        <v>81</v>
      </c>
      <c r="C96" t="b">
        <v>0</v>
      </c>
      <c r="D96">
        <v>130</v>
      </c>
      <c r="E96">
        <v>130</v>
      </c>
      <c r="F96" t="b">
        <v>0</v>
      </c>
      <c r="G96" t="s">
        <v>107</v>
      </c>
      <c r="H96" t="s">
        <v>297</v>
      </c>
      <c r="I96" s="26" t="s">
        <v>298</v>
      </c>
      <c r="J96" t="s">
        <v>154</v>
      </c>
      <c r="K96" t="s">
        <v>73</v>
      </c>
      <c r="L96" t="s">
        <v>85</v>
      </c>
      <c r="M96" s="27">
        <v>0.22600000000000001</v>
      </c>
      <c r="N96" s="28"/>
      <c r="O96" s="29" t="s">
        <v>299</v>
      </c>
      <c r="P96" t="s">
        <v>300</v>
      </c>
      <c r="Q96" s="30"/>
      <c r="R96" s="30">
        <v>0</v>
      </c>
      <c r="S96" s="30">
        <v>0</v>
      </c>
      <c r="T96" s="30"/>
      <c r="U96" s="30"/>
      <c r="V96" s="30"/>
      <c r="W96" s="30"/>
      <c r="X96" s="30"/>
      <c r="Y96" s="30"/>
      <c r="Z96" s="30"/>
      <c r="AA96" s="30"/>
      <c r="AB96" s="30">
        <v>10000000</v>
      </c>
      <c r="AC96" s="30">
        <v>20000000</v>
      </c>
      <c r="AD96" s="30">
        <v>20000000</v>
      </c>
      <c r="AE96" s="30">
        <v>41000000</v>
      </c>
      <c r="AF96" s="30">
        <v>41000000</v>
      </c>
      <c r="AG96" s="30">
        <v>41000000</v>
      </c>
      <c r="AH96" s="30">
        <v>41000000</v>
      </c>
      <c r="AI96" s="30">
        <v>41000000</v>
      </c>
      <c r="AJ96" s="30">
        <v>41000000</v>
      </c>
      <c r="AK96" s="30">
        <v>41000000</v>
      </c>
      <c r="AL96" s="30">
        <v>41000000</v>
      </c>
      <c r="AM96" s="30">
        <v>41000000</v>
      </c>
      <c r="AN96" s="30">
        <v>41000000</v>
      </c>
      <c r="AO96" s="30">
        <v>41000000</v>
      </c>
      <c r="AP96" s="30">
        <v>41000000</v>
      </c>
      <c r="AQ96" s="30">
        <f>Table_2021_CIP[[#This Row],[TotalYR1]]+S96</f>
        <v>0</v>
      </c>
      <c r="AR96" s="30">
        <f>SUM(Table_2021_CIP[[#This Row],[TotalYR1]:[32-33]])</f>
        <v>0</v>
      </c>
      <c r="AS96" s="30">
        <f>SUM(Table_2021_CIP[[#This Row],[TotalYR1]:[47-48]])</f>
        <v>542000000</v>
      </c>
      <c r="AT96" s="24">
        <f>SUM(Table_2021_CIP[[#This Row],[22-23]:[47-48]])</f>
        <v>542000000</v>
      </c>
    </row>
    <row r="97" spans="1:46" ht="12.75" customHeight="1" x14ac:dyDescent="0.25">
      <c r="A97" s="25">
        <f t="shared" si="3"/>
        <v>89</v>
      </c>
      <c r="B97" t="s">
        <v>81</v>
      </c>
      <c r="C97" t="b">
        <v>0</v>
      </c>
      <c r="D97">
        <v>130</v>
      </c>
      <c r="E97">
        <v>130</v>
      </c>
      <c r="F97" t="b">
        <v>0</v>
      </c>
      <c r="G97" t="s">
        <v>107</v>
      </c>
      <c r="H97" t="s">
        <v>301</v>
      </c>
      <c r="I97" s="26" t="s">
        <v>302</v>
      </c>
      <c r="J97" t="s">
        <v>154</v>
      </c>
      <c r="K97" t="s">
        <v>73</v>
      </c>
      <c r="L97" t="s">
        <v>85</v>
      </c>
      <c r="M97" s="27">
        <v>0.22600000000000001</v>
      </c>
      <c r="N97" s="28">
        <v>16</v>
      </c>
      <c r="O97" s="29" t="str">
        <f>IF(Table_2021_CIP[[#This Row],[Column2]]&lt;10,"A",IF(Table_2021_CIP[[#This Row],[Column2]]&gt;19,"C","B"))</f>
        <v>B</v>
      </c>
      <c r="P97" t="s">
        <v>303</v>
      </c>
      <c r="Q97" s="30"/>
      <c r="R97" s="30">
        <v>0</v>
      </c>
      <c r="S97" s="30">
        <v>0</v>
      </c>
      <c r="T97" s="30"/>
      <c r="U97" s="30"/>
      <c r="V97" s="30"/>
      <c r="W97" s="30"/>
      <c r="X97" s="30"/>
      <c r="Y97" s="30">
        <v>1667872</v>
      </c>
      <c r="Z97" s="30">
        <v>8322502</v>
      </c>
      <c r="AA97" s="30">
        <v>8322502</v>
      </c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>
        <f>Table_2021_CIP[[#This Row],[TotalYR1]]+S97</f>
        <v>0</v>
      </c>
      <c r="AR97" s="30">
        <f>SUM(Table_2021_CIP[[#This Row],[TotalYR1]:[32-33]])</f>
        <v>18312876</v>
      </c>
      <c r="AS97" s="30">
        <f>SUM(Table_2021_CIP[[#This Row],[TotalYR1]:[47-48]])</f>
        <v>18312876</v>
      </c>
      <c r="AT97" s="24">
        <f>SUM(Table_2021_CIP[[#This Row],[22-23]:[47-48]])</f>
        <v>18312876</v>
      </c>
    </row>
    <row r="98" spans="1:46" ht="12.75" customHeight="1" x14ac:dyDescent="0.25">
      <c r="A98" s="25">
        <f t="shared" si="3"/>
        <v>90</v>
      </c>
      <c r="B98" t="s">
        <v>81</v>
      </c>
      <c r="C98" t="b">
        <v>0</v>
      </c>
      <c r="D98">
        <v>130</v>
      </c>
      <c r="E98">
        <v>130</v>
      </c>
      <c r="F98" t="b">
        <v>0</v>
      </c>
      <c r="G98" t="s">
        <v>107</v>
      </c>
      <c r="H98" t="s">
        <v>304</v>
      </c>
      <c r="I98" s="26" t="s">
        <v>305</v>
      </c>
      <c r="J98" t="s">
        <v>154</v>
      </c>
      <c r="K98" t="s">
        <v>73</v>
      </c>
      <c r="L98" t="s">
        <v>85</v>
      </c>
      <c r="M98" s="27">
        <v>0.22600000000000001</v>
      </c>
      <c r="N98" s="28">
        <v>16</v>
      </c>
      <c r="O98" s="29" t="str">
        <f>IF(Table_2021_CIP[[#This Row],[Column2]]&lt;10,"A",IF(Table_2021_CIP[[#This Row],[Column2]]&gt;19,"C","B"))</f>
        <v>B</v>
      </c>
      <c r="P98" t="s">
        <v>306</v>
      </c>
      <c r="Q98" s="30"/>
      <c r="R98" s="30">
        <v>0</v>
      </c>
      <c r="S98" s="30">
        <v>0</v>
      </c>
      <c r="T98" s="30"/>
      <c r="U98" s="30"/>
      <c r="V98" s="30"/>
      <c r="W98" s="30"/>
      <c r="X98" s="30">
        <v>4086760</v>
      </c>
      <c r="Y98" s="30">
        <f>14529323/2</f>
        <v>7264661.5</v>
      </c>
      <c r="Z98" s="30">
        <f>14529323/2</f>
        <v>7264661.5</v>
      </c>
      <c r="AA98" s="30">
        <v>7264661.5</v>
      </c>
      <c r="AB98" s="30">
        <v>7264661.5</v>
      </c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>
        <f>Table_2021_CIP[[#This Row],[TotalYR1]]+S98</f>
        <v>0</v>
      </c>
      <c r="AR98" s="30">
        <f>SUM(Table_2021_CIP[[#This Row],[TotalYR1]:[32-33]])</f>
        <v>25880744.5</v>
      </c>
      <c r="AS98" s="30">
        <f>SUM(Table_2021_CIP[[#This Row],[TotalYR1]:[47-48]])</f>
        <v>33145406</v>
      </c>
      <c r="AT98" s="24">
        <f>SUM(Table_2021_CIP[[#This Row],[22-23]:[47-48]])</f>
        <v>33145406</v>
      </c>
    </row>
    <row r="99" spans="1:46" ht="12.75" customHeight="1" x14ac:dyDescent="0.25">
      <c r="A99" s="25">
        <f t="shared" si="3"/>
        <v>91</v>
      </c>
      <c r="B99" t="s">
        <v>81</v>
      </c>
      <c r="C99" t="b">
        <v>0</v>
      </c>
      <c r="D99">
        <v>130</v>
      </c>
      <c r="E99">
        <v>130</v>
      </c>
      <c r="F99" t="b">
        <v>0</v>
      </c>
      <c r="G99" t="s">
        <v>107</v>
      </c>
      <c r="H99" t="s">
        <v>307</v>
      </c>
      <c r="I99" s="26" t="s">
        <v>308</v>
      </c>
      <c r="J99" t="s">
        <v>147</v>
      </c>
      <c r="K99" t="s">
        <v>73</v>
      </c>
      <c r="L99" t="s">
        <v>85</v>
      </c>
      <c r="M99" s="27">
        <v>1</v>
      </c>
      <c r="N99" s="28">
        <v>16</v>
      </c>
      <c r="O99" s="29" t="str">
        <f>IF(Table_2021_CIP[[#This Row],[Column2]]&lt;10,"A",IF(Table_2021_CIP[[#This Row],[Column2]]&gt;19,"C","B"))</f>
        <v>B</v>
      </c>
      <c r="P99" t="s">
        <v>309</v>
      </c>
      <c r="Q99" s="30"/>
      <c r="R99" s="30">
        <v>26560</v>
      </c>
      <c r="S99" s="30">
        <v>0</v>
      </c>
      <c r="T99" s="30"/>
      <c r="U99" s="30"/>
      <c r="V99" s="30"/>
      <c r="W99" s="30">
        <v>1446808</v>
      </c>
      <c r="X99" s="30">
        <v>7924759</v>
      </c>
      <c r="Y99" s="30">
        <v>60500</v>
      </c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>
        <f>Table_2021_CIP[[#This Row],[TotalYR1]]+S99</f>
        <v>26560</v>
      </c>
      <c r="AR99" s="30">
        <f>SUM(Table_2021_CIP[[#This Row],[TotalYR1]:[32-33]])</f>
        <v>9458627</v>
      </c>
      <c r="AS99" s="30">
        <f>SUM(Table_2021_CIP[[#This Row],[TotalYR1]:[47-48]])</f>
        <v>9458627</v>
      </c>
      <c r="AT99" s="24">
        <f>SUM(Table_2021_CIP[[#This Row],[22-23]:[47-48]])</f>
        <v>9458627</v>
      </c>
    </row>
    <row r="100" spans="1:46" ht="12.75" customHeight="1" x14ac:dyDescent="0.25">
      <c r="A100" s="25">
        <f t="shared" si="3"/>
        <v>92</v>
      </c>
      <c r="B100" t="s">
        <v>81</v>
      </c>
      <c r="C100" t="b">
        <v>0</v>
      </c>
      <c r="D100">
        <v>120</v>
      </c>
      <c r="E100">
        <v>130</v>
      </c>
      <c r="F100" t="b">
        <v>0</v>
      </c>
      <c r="G100" t="s">
        <v>107</v>
      </c>
      <c r="H100" t="s">
        <v>310</v>
      </c>
      <c r="I100" s="26" t="s">
        <v>311</v>
      </c>
      <c r="J100"/>
      <c r="K100" t="s">
        <v>73</v>
      </c>
      <c r="L100" t="s">
        <v>85</v>
      </c>
      <c r="M100" s="27">
        <v>1</v>
      </c>
      <c r="N100" s="28"/>
      <c r="O100" s="29" t="s">
        <v>312</v>
      </c>
      <c r="P100" t="s">
        <v>313</v>
      </c>
      <c r="Q100" s="30">
        <v>0</v>
      </c>
      <c r="R100" s="30">
        <v>0</v>
      </c>
      <c r="S100" s="30">
        <v>0</v>
      </c>
      <c r="T100" s="30"/>
      <c r="U100" s="30"/>
      <c r="V100" s="30"/>
      <c r="W100" s="30">
        <v>3719000</v>
      </c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>
        <f>Table_2021_CIP[[#This Row],[TotalYR1]]+S100</f>
        <v>0</v>
      </c>
      <c r="AR100" s="30">
        <f>SUM(Table_2021_CIP[[#This Row],[TotalYR1]:[32-33]])</f>
        <v>3719000</v>
      </c>
      <c r="AS100" s="30">
        <f>SUM(Table_2021_CIP[[#This Row],[TotalYR1]:[47-48]])</f>
        <v>3719000</v>
      </c>
      <c r="AT100" s="24">
        <f>SUM(Table_2021_CIP[[#This Row],[22-23]:[47-48]])</f>
        <v>3719000</v>
      </c>
    </row>
    <row r="101" spans="1:46" ht="12.75" customHeight="1" x14ac:dyDescent="0.25">
      <c r="A101" s="25">
        <f t="shared" si="3"/>
        <v>93</v>
      </c>
      <c r="B101" t="s">
        <v>92</v>
      </c>
      <c r="C101" t="b">
        <v>0</v>
      </c>
      <c r="D101">
        <v>740</v>
      </c>
      <c r="E101">
        <v>130</v>
      </c>
      <c r="F101" t="b">
        <v>0</v>
      </c>
      <c r="G101" t="s">
        <v>71</v>
      </c>
      <c r="H101" t="s">
        <v>314</v>
      </c>
      <c r="I101" s="26" t="s">
        <v>315</v>
      </c>
      <c r="J101" t="s">
        <v>147</v>
      </c>
      <c r="K101" t="s">
        <v>73</v>
      </c>
      <c r="L101" t="s">
        <v>85</v>
      </c>
      <c r="M101" s="27">
        <v>0.22600000000000001</v>
      </c>
      <c r="N101" s="28">
        <v>14</v>
      </c>
      <c r="O101" s="29" t="str">
        <f>IF(Table_2021_CIP[[#This Row],[Column2]]&lt;10,"A",IF(Table_2021_CIP[[#This Row],[Column2]]&gt;19,"C","B"))</f>
        <v>B</v>
      </c>
      <c r="P101" t="s">
        <v>316</v>
      </c>
      <c r="Q101" s="30">
        <v>0</v>
      </c>
      <c r="R101" s="30">
        <v>0</v>
      </c>
      <c r="S101" s="30">
        <v>0</v>
      </c>
      <c r="T101" s="30">
        <v>0</v>
      </c>
      <c r="U101" s="30">
        <v>2980000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>
        <v>0</v>
      </c>
      <c r="AM101" s="30">
        <v>0</v>
      </c>
      <c r="AN101" s="30">
        <v>0</v>
      </c>
      <c r="AO101" s="30">
        <v>0</v>
      </c>
      <c r="AP101" s="30">
        <v>0</v>
      </c>
      <c r="AQ101" s="30">
        <f>Table_2021_CIP[[#This Row],[TotalYR1]]+S101</f>
        <v>0</v>
      </c>
      <c r="AR101" s="30">
        <f>SUM(Table_2021_CIP[[#This Row],[TotalYR1]:[32-33]])</f>
        <v>2980000</v>
      </c>
      <c r="AS101" s="30">
        <f>SUM(Table_2021_CIP[[#This Row],[TotalYR1]:[47-48]])</f>
        <v>2980000</v>
      </c>
      <c r="AT101" s="24">
        <f>SUM(Table_2021_CIP[[#This Row],[22-23]:[47-48]])</f>
        <v>2980000</v>
      </c>
    </row>
    <row r="102" spans="1:46" ht="12.75" customHeight="1" x14ac:dyDescent="0.25">
      <c r="A102" s="25">
        <f t="shared" si="3"/>
        <v>94</v>
      </c>
      <c r="B102" t="s">
        <v>180</v>
      </c>
      <c r="C102" t="b">
        <v>0</v>
      </c>
      <c r="D102">
        <v>250</v>
      </c>
      <c r="E102">
        <v>130</v>
      </c>
      <c r="F102" t="b">
        <v>0</v>
      </c>
      <c r="G102" t="s">
        <v>101</v>
      </c>
      <c r="H102" t="s">
        <v>317</v>
      </c>
      <c r="I102" s="26" t="s">
        <v>318</v>
      </c>
      <c r="J102"/>
      <c r="K102" t="s">
        <v>73</v>
      </c>
      <c r="L102" t="s">
        <v>85</v>
      </c>
      <c r="M102" s="27">
        <v>0</v>
      </c>
      <c r="N102" s="28">
        <v>19</v>
      </c>
      <c r="O102" s="29" t="str">
        <f>IF(Table_2021_CIP[[#This Row],[Column2]]&lt;10,"A",IF(Table_2021_CIP[[#This Row],[Column2]]&gt;19,"C","B"))</f>
        <v>B</v>
      </c>
      <c r="P102" t="s">
        <v>319</v>
      </c>
      <c r="Q102" s="30">
        <v>0</v>
      </c>
      <c r="R102" s="30">
        <v>0</v>
      </c>
      <c r="S102" s="30">
        <v>0</v>
      </c>
      <c r="T102" s="30">
        <v>204899.79199999999</v>
      </c>
      <c r="U102" s="30">
        <v>204899.79</v>
      </c>
      <c r="V102" s="30">
        <v>849756.71</v>
      </c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>
        <f>Table_2021_CIP[[#This Row],[TotalYR1]]+S102</f>
        <v>0</v>
      </c>
      <c r="AR102" s="30">
        <f>SUM(Table_2021_CIP[[#This Row],[TotalYR1]:[32-33]])</f>
        <v>1259556.2919999999</v>
      </c>
      <c r="AS102" s="30">
        <f>SUM(Table_2021_CIP[[#This Row],[TotalYR1]:[47-48]])</f>
        <v>1259556.2919999999</v>
      </c>
      <c r="AT102" s="24">
        <f>SUM(Table_2021_CIP[[#This Row],[22-23]:[47-48]])</f>
        <v>1259556.2919999999</v>
      </c>
    </row>
    <row r="103" spans="1:46" ht="12.75" customHeight="1" x14ac:dyDescent="0.25">
      <c r="A103" s="17">
        <f t="shared" si="3"/>
        <v>95</v>
      </c>
      <c r="B103" s="18" t="s">
        <v>101</v>
      </c>
      <c r="C103" s="18" t="b">
        <v>1</v>
      </c>
      <c r="D103" s="18">
        <v>740</v>
      </c>
      <c r="E103" s="18">
        <v>740</v>
      </c>
      <c r="F103" s="18" t="b">
        <v>0</v>
      </c>
      <c r="G103" s="18" t="s">
        <v>165</v>
      </c>
      <c r="H103" s="18" t="s">
        <v>320</v>
      </c>
      <c r="I103" s="19" t="s">
        <v>321</v>
      </c>
      <c r="J103" s="18"/>
      <c r="K103" s="18" t="s">
        <v>77</v>
      </c>
      <c r="L103" s="18" t="s">
        <v>74</v>
      </c>
      <c r="M103" s="20">
        <v>0.5</v>
      </c>
      <c r="N103" s="21"/>
      <c r="O103" s="22" t="s">
        <v>299</v>
      </c>
      <c r="P103" s="18" t="s">
        <v>322</v>
      </c>
      <c r="Q103" s="23"/>
      <c r="R103" s="23">
        <v>0</v>
      </c>
      <c r="S103" s="23">
        <v>0</v>
      </c>
      <c r="T103" s="23"/>
      <c r="U103" s="23"/>
      <c r="V103" s="23"/>
      <c r="W103" s="23">
        <v>515000</v>
      </c>
      <c r="X103" s="23">
        <v>1030000</v>
      </c>
      <c r="Y103" s="23">
        <v>16480000</v>
      </c>
      <c r="Z103" s="23">
        <v>4120000</v>
      </c>
      <c r="AA103" s="23">
        <v>2060000</v>
      </c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>
        <f>Table_2021_CIP[[#This Row],[TotalYR1]]+S103</f>
        <v>0</v>
      </c>
      <c r="AR103" s="23">
        <f>SUM(Table_2021_CIP[[#This Row],[TotalYR1]:[32-33]])</f>
        <v>24205000</v>
      </c>
      <c r="AS103" s="23">
        <f>SUM(Table_2021_CIP[[#This Row],[TotalYR1]:[47-48]])</f>
        <v>24205000</v>
      </c>
      <c r="AT103" s="24">
        <f>SUM(Table_2021_CIP[[#This Row],[22-23]:[47-48]])</f>
        <v>24205000</v>
      </c>
    </row>
    <row r="104" spans="1:46" ht="12.75" customHeight="1" x14ac:dyDescent="0.25">
      <c r="A104" s="25">
        <f t="shared" si="3"/>
        <v>96</v>
      </c>
      <c r="B104" t="s">
        <v>101</v>
      </c>
      <c r="C104" t="b">
        <v>0</v>
      </c>
      <c r="D104">
        <v>130</v>
      </c>
      <c r="E104">
        <v>130</v>
      </c>
      <c r="F104" t="b">
        <v>0</v>
      </c>
      <c r="G104" t="s">
        <v>107</v>
      </c>
      <c r="H104" t="s">
        <v>117</v>
      </c>
      <c r="I104" s="26" t="s">
        <v>323</v>
      </c>
      <c r="J104"/>
      <c r="K104" t="s">
        <v>77</v>
      </c>
      <c r="L104" t="s">
        <v>85</v>
      </c>
      <c r="M104" s="27">
        <v>0.22600000000000001</v>
      </c>
      <c r="N104" s="28">
        <v>10</v>
      </c>
      <c r="O104" s="29" t="str">
        <f>IF(Table_2021_CIP[[#This Row],[Column2]]&lt;10,"A",IF(Table_2021_CIP[[#This Row],[Column2]]&gt;19,"C","B"))</f>
        <v>B</v>
      </c>
      <c r="P104" t="s">
        <v>324</v>
      </c>
      <c r="Q104" s="30"/>
      <c r="R104" s="30">
        <v>0</v>
      </c>
      <c r="S104" s="30">
        <v>0</v>
      </c>
      <c r="T104" s="30"/>
      <c r="U104" s="30"/>
      <c r="V104" s="30"/>
      <c r="W104" s="30">
        <v>4000000</v>
      </c>
      <c r="X104" s="30">
        <v>4000000</v>
      </c>
      <c r="Y104" s="30">
        <v>4000000</v>
      </c>
      <c r="Z104" s="30">
        <v>23000000</v>
      </c>
      <c r="AA104" s="30">
        <v>23000000</v>
      </c>
      <c r="AB104" s="30">
        <v>1000000</v>
      </c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>
        <f>Table_2021_CIP[[#This Row],[TotalYR1]]+S104</f>
        <v>0</v>
      </c>
      <c r="AR104" s="30">
        <f>SUM(Table_2021_CIP[[#This Row],[TotalYR1]:[32-33]])</f>
        <v>58000000</v>
      </c>
      <c r="AS104" s="30">
        <f>SUM(Table_2021_CIP[[#This Row],[TotalYR1]:[47-48]])</f>
        <v>59000000</v>
      </c>
      <c r="AT104" s="24">
        <f>SUM(Table_2021_CIP[[#This Row],[22-23]:[47-48]])</f>
        <v>59000000</v>
      </c>
    </row>
    <row r="105" spans="1:46" ht="12.75" customHeight="1" x14ac:dyDescent="0.25">
      <c r="A105" s="17">
        <f t="shared" si="3"/>
        <v>97</v>
      </c>
      <c r="B105" s="18" t="s">
        <v>100</v>
      </c>
      <c r="C105" s="18" t="b">
        <v>1</v>
      </c>
      <c r="D105" s="18">
        <v>130</v>
      </c>
      <c r="E105" s="18">
        <v>130</v>
      </c>
      <c r="F105" s="18" t="b">
        <v>0</v>
      </c>
      <c r="G105" s="18" t="s">
        <v>156</v>
      </c>
      <c r="H105" s="18" t="s">
        <v>112</v>
      </c>
      <c r="I105" s="19" t="s">
        <v>325</v>
      </c>
      <c r="J105" s="18"/>
      <c r="K105" s="18" t="s">
        <v>73</v>
      </c>
      <c r="L105" s="18" t="s">
        <v>74</v>
      </c>
      <c r="M105" s="20">
        <v>0</v>
      </c>
      <c r="N105" s="21">
        <v>16</v>
      </c>
      <c r="O105" s="22" t="str">
        <f>IF(Table_2021_CIP[[#This Row],[Column2]]&lt;10,"A",IF(Table_2021_CIP[[#This Row],[Column2]]&gt;19,"C","B"))</f>
        <v>B</v>
      </c>
      <c r="P105" s="18" t="s">
        <v>326</v>
      </c>
      <c r="Q105" s="23"/>
      <c r="R105" s="23"/>
      <c r="S105" s="23"/>
      <c r="T105" s="23"/>
      <c r="U105" s="23"/>
      <c r="V105" s="23"/>
      <c r="W105" s="23">
        <v>76492.800000000003</v>
      </c>
      <c r="X105" s="23">
        <v>424168</v>
      </c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>
        <f>Table_2021_CIP[[#This Row],[TotalYR1]]+S105</f>
        <v>0</v>
      </c>
      <c r="AR105" s="23">
        <f>SUM(Table_2021_CIP[[#This Row],[TotalYR1]:[32-33]])</f>
        <v>500660.8</v>
      </c>
      <c r="AS105" s="23">
        <f>SUM(Table_2021_CIP[[#This Row],[TotalYR1]:[47-48]])</f>
        <v>500660.8</v>
      </c>
      <c r="AT105" s="24">
        <f>SUM(Table_2021_CIP[[#This Row],[22-23]:[47-48]])</f>
        <v>500660.8</v>
      </c>
    </row>
    <row r="106" spans="1:46" ht="12.75" customHeight="1" x14ac:dyDescent="0.25">
      <c r="A106" s="17">
        <f t="shared" si="3"/>
        <v>98</v>
      </c>
      <c r="B106" s="18" t="s">
        <v>81</v>
      </c>
      <c r="C106" s="18" t="b">
        <v>1</v>
      </c>
      <c r="D106" s="18">
        <v>130</v>
      </c>
      <c r="E106" s="18">
        <v>130</v>
      </c>
      <c r="F106" s="18" t="b">
        <v>0</v>
      </c>
      <c r="G106" s="18" t="s">
        <v>165</v>
      </c>
      <c r="H106" s="18" t="s">
        <v>327</v>
      </c>
      <c r="I106" s="19" t="s">
        <v>328</v>
      </c>
      <c r="J106" s="18"/>
      <c r="K106" s="18" t="s">
        <v>73</v>
      </c>
      <c r="L106" s="18" t="s">
        <v>74</v>
      </c>
      <c r="M106" s="20">
        <v>0.22600000000000001</v>
      </c>
      <c r="N106" s="21"/>
      <c r="O106" s="22" t="s">
        <v>329</v>
      </c>
      <c r="P106" s="18" t="s">
        <v>330</v>
      </c>
      <c r="Q106" s="23"/>
      <c r="R106" s="23">
        <v>0</v>
      </c>
      <c r="S106" s="23">
        <v>0</v>
      </c>
      <c r="T106" s="23"/>
      <c r="U106" s="23"/>
      <c r="V106" s="23"/>
      <c r="W106" s="23">
        <v>100000</v>
      </c>
      <c r="X106" s="23">
        <v>25000</v>
      </c>
      <c r="Y106" s="23"/>
      <c r="Z106" s="23"/>
      <c r="AA106" s="23"/>
      <c r="AB106" s="23"/>
      <c r="AC106" s="23"/>
      <c r="AD106" s="23"/>
      <c r="AE106" s="23"/>
      <c r="AF106" s="23"/>
      <c r="AG106" s="23">
        <v>500000</v>
      </c>
      <c r="AH106" s="23">
        <v>500000</v>
      </c>
      <c r="AI106" s="23">
        <v>8000000</v>
      </c>
      <c r="AJ106" s="23">
        <v>10000000</v>
      </c>
      <c r="AK106" s="23"/>
      <c r="AL106" s="23"/>
      <c r="AM106" s="23"/>
      <c r="AN106" s="23"/>
      <c r="AO106" s="23"/>
      <c r="AP106" s="23"/>
      <c r="AQ106" s="23">
        <f>Table_2021_CIP[[#This Row],[TotalYR1]]+S106</f>
        <v>0</v>
      </c>
      <c r="AR106" s="23">
        <f>SUM(Table_2021_CIP[[#This Row],[TotalYR1]:[32-33]])</f>
        <v>125000</v>
      </c>
      <c r="AS106" s="23">
        <f>SUM(Table_2021_CIP[[#This Row],[TotalYR1]:[47-48]])</f>
        <v>19125000</v>
      </c>
      <c r="AT106" s="24">
        <f>SUM(Table_2021_CIP[[#This Row],[22-23]:[47-48]])</f>
        <v>19125000</v>
      </c>
    </row>
    <row r="107" spans="1:46" ht="12.75" customHeight="1" x14ac:dyDescent="0.25">
      <c r="A107" s="25">
        <f t="shared" si="3"/>
        <v>99</v>
      </c>
      <c r="B107" t="s">
        <v>100</v>
      </c>
      <c r="C107" t="b">
        <v>0</v>
      </c>
      <c r="D107">
        <v>130</v>
      </c>
      <c r="E107">
        <v>130</v>
      </c>
      <c r="F107" t="b">
        <v>0</v>
      </c>
      <c r="G107" t="s">
        <v>165</v>
      </c>
      <c r="H107" t="s">
        <v>331</v>
      </c>
      <c r="I107" s="26" t="s">
        <v>332</v>
      </c>
      <c r="J107"/>
      <c r="K107" t="s">
        <v>73</v>
      </c>
      <c r="L107" t="s">
        <v>85</v>
      </c>
      <c r="M107" s="27">
        <v>5.0000000745058101E-2</v>
      </c>
      <c r="N107" s="28">
        <v>15</v>
      </c>
      <c r="O107" s="29" t="str">
        <f>IF(Table_2021_CIP[[#This Row],[Column2]]&lt;10,"A",IF(Table_2021_CIP[[#This Row],[Column2]]&gt;19,"C","B"))</f>
        <v>B</v>
      </c>
      <c r="P107" t="s">
        <v>333</v>
      </c>
      <c r="Q107" s="30"/>
      <c r="R107" s="30">
        <v>0</v>
      </c>
      <c r="S107" s="30">
        <v>0</v>
      </c>
      <c r="T107" s="30"/>
      <c r="U107" s="30"/>
      <c r="V107" s="30"/>
      <c r="W107" s="30">
        <v>50000</v>
      </c>
      <c r="X107" s="30">
        <v>150000</v>
      </c>
      <c r="Y107" s="30">
        <v>500000</v>
      </c>
      <c r="Z107" s="30">
        <v>50000</v>
      </c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>
        <f>Table_2021_CIP[[#This Row],[TotalYR1]]+S107</f>
        <v>0</v>
      </c>
      <c r="AR107" s="30">
        <f>SUM(Table_2021_CIP[[#This Row],[TotalYR1]:[32-33]])</f>
        <v>750000</v>
      </c>
      <c r="AS107" s="30">
        <f>SUM(Table_2021_CIP[[#This Row],[TotalYR1]:[47-48]])</f>
        <v>750000</v>
      </c>
      <c r="AT107" s="24">
        <f>SUM(Table_2021_CIP[[#This Row],[22-23]:[47-48]])</f>
        <v>750000</v>
      </c>
    </row>
    <row r="108" spans="1:46" ht="12.75" customHeight="1" x14ac:dyDescent="0.25">
      <c r="A108" s="25">
        <f t="shared" si="3"/>
        <v>100</v>
      </c>
      <c r="B108" t="s">
        <v>101</v>
      </c>
      <c r="C108" t="b">
        <v>0</v>
      </c>
      <c r="D108">
        <v>130</v>
      </c>
      <c r="E108">
        <v>130</v>
      </c>
      <c r="F108" t="b">
        <v>0</v>
      </c>
      <c r="G108" t="s">
        <v>165</v>
      </c>
      <c r="H108" t="s">
        <v>331</v>
      </c>
      <c r="I108" s="26" t="s">
        <v>334</v>
      </c>
      <c r="J108"/>
      <c r="K108" t="s">
        <v>73</v>
      </c>
      <c r="L108" t="s">
        <v>85</v>
      </c>
      <c r="M108" s="27">
        <v>5.0000000745058101E-2</v>
      </c>
      <c r="N108" s="28">
        <v>15</v>
      </c>
      <c r="O108" s="29" t="str">
        <f>IF(Table_2021_CIP[[#This Row],[Column2]]&lt;10,"A",IF(Table_2021_CIP[[#This Row],[Column2]]&gt;19,"C","B"))</f>
        <v>B</v>
      </c>
      <c r="P108" t="s">
        <v>335</v>
      </c>
      <c r="Q108" s="30"/>
      <c r="R108" s="30">
        <v>0</v>
      </c>
      <c r="S108" s="30">
        <v>0</v>
      </c>
      <c r="T108" s="30"/>
      <c r="U108" s="30"/>
      <c r="V108" s="30"/>
      <c r="W108" s="30">
        <v>50000</v>
      </c>
      <c r="X108" s="30">
        <v>150000</v>
      </c>
      <c r="Y108" s="30">
        <v>1000000</v>
      </c>
      <c r="Z108" s="30">
        <v>50000</v>
      </c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>
        <f>Table_2021_CIP[[#This Row],[TotalYR1]]+S108</f>
        <v>0</v>
      </c>
      <c r="AR108" s="30">
        <f>SUM(Table_2021_CIP[[#This Row],[TotalYR1]:[32-33]])</f>
        <v>1250000</v>
      </c>
      <c r="AS108" s="30">
        <f>SUM(Table_2021_CIP[[#This Row],[TotalYR1]:[47-48]])</f>
        <v>1250000</v>
      </c>
      <c r="AT108" s="24">
        <f>SUM(Table_2021_CIP[[#This Row],[22-23]:[47-48]])</f>
        <v>1250000</v>
      </c>
    </row>
    <row r="109" spans="1:46" ht="12.75" customHeight="1" x14ac:dyDescent="0.25">
      <c r="A109" s="17">
        <f t="shared" si="3"/>
        <v>101</v>
      </c>
      <c r="B109" s="18" t="s">
        <v>100</v>
      </c>
      <c r="C109" s="18" t="b">
        <v>1</v>
      </c>
      <c r="D109" s="18">
        <v>130</v>
      </c>
      <c r="E109" s="18">
        <v>130</v>
      </c>
      <c r="F109" s="18" t="b">
        <v>0</v>
      </c>
      <c r="G109" s="18" t="s">
        <v>165</v>
      </c>
      <c r="H109" s="18" t="s">
        <v>246</v>
      </c>
      <c r="I109" s="19" t="s">
        <v>336</v>
      </c>
      <c r="J109" s="18"/>
      <c r="K109" s="18" t="s">
        <v>73</v>
      </c>
      <c r="L109" s="18" t="s">
        <v>74</v>
      </c>
      <c r="M109" s="20">
        <v>5.0000000745058101E-2</v>
      </c>
      <c r="N109" s="21">
        <v>15</v>
      </c>
      <c r="O109" s="22" t="str">
        <f>IF(Table_2021_CIP[[#This Row],[Column2]]&lt;10,"A",IF(Table_2021_CIP[[#This Row],[Column2]]&gt;19,"C","B"))</f>
        <v>B</v>
      </c>
      <c r="P109" s="18" t="s">
        <v>337</v>
      </c>
      <c r="Q109" s="23"/>
      <c r="R109" s="23">
        <v>0</v>
      </c>
      <c r="S109" s="23">
        <v>0</v>
      </c>
      <c r="T109" s="23"/>
      <c r="U109" s="23">
        <v>50000</v>
      </c>
      <c r="V109" s="23">
        <v>150000</v>
      </c>
      <c r="W109" s="23">
        <v>50000</v>
      </c>
      <c r="X109" s="23">
        <v>0</v>
      </c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>
        <f>Table_2021_CIP[[#This Row],[TotalYR1]]+S109</f>
        <v>0</v>
      </c>
      <c r="AR109" s="23">
        <f>SUM(Table_2021_CIP[[#This Row],[TotalYR1]:[32-33]])</f>
        <v>250000</v>
      </c>
      <c r="AS109" s="23">
        <f>SUM(Table_2021_CIP[[#This Row],[TotalYR1]:[47-48]])</f>
        <v>250000</v>
      </c>
      <c r="AT109" s="24">
        <f>SUM(Table_2021_CIP[[#This Row],[22-23]:[47-48]])</f>
        <v>250000</v>
      </c>
    </row>
    <row r="110" spans="1:46" ht="12.75" customHeight="1" x14ac:dyDescent="0.25">
      <c r="A110" s="25">
        <f t="shared" si="3"/>
        <v>102</v>
      </c>
      <c r="B110" t="s">
        <v>100</v>
      </c>
      <c r="C110" t="b">
        <v>0</v>
      </c>
      <c r="D110">
        <v>130</v>
      </c>
      <c r="E110">
        <v>130</v>
      </c>
      <c r="F110" t="b">
        <v>0</v>
      </c>
      <c r="G110" t="s">
        <v>165</v>
      </c>
      <c r="H110" t="s">
        <v>338</v>
      </c>
      <c r="I110" s="26" t="s">
        <v>339</v>
      </c>
      <c r="J110"/>
      <c r="K110" t="s">
        <v>73</v>
      </c>
      <c r="L110" t="s">
        <v>85</v>
      </c>
      <c r="M110" s="27">
        <v>5.0000000745058101E-2</v>
      </c>
      <c r="N110" s="28">
        <v>15</v>
      </c>
      <c r="O110" s="29" t="str">
        <f>IF(Table_2021_CIP[[#This Row],[Column2]]&lt;10,"A",IF(Table_2021_CIP[[#This Row],[Column2]]&gt;19,"C","B"))</f>
        <v>B</v>
      </c>
      <c r="P110" t="s">
        <v>340</v>
      </c>
      <c r="Q110" s="30"/>
      <c r="R110" s="30">
        <v>0</v>
      </c>
      <c r="S110" s="30">
        <v>0</v>
      </c>
      <c r="T110" s="30"/>
      <c r="U110" s="30"/>
      <c r="V110" s="30"/>
      <c r="W110" s="30">
        <v>50000</v>
      </c>
      <c r="X110" s="30">
        <v>150000</v>
      </c>
      <c r="Y110" s="30">
        <v>500000</v>
      </c>
      <c r="Z110" s="30">
        <v>50000</v>
      </c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>
        <f>Table_2021_CIP[[#This Row],[TotalYR1]]+S110</f>
        <v>0</v>
      </c>
      <c r="AR110" s="30">
        <f>SUM(Table_2021_CIP[[#This Row],[TotalYR1]:[32-33]])</f>
        <v>750000</v>
      </c>
      <c r="AS110" s="30">
        <f>SUM(Table_2021_CIP[[#This Row],[TotalYR1]:[47-48]])</f>
        <v>750000</v>
      </c>
      <c r="AT110" s="24">
        <f>SUM(Table_2021_CIP[[#This Row],[22-23]:[47-48]])</f>
        <v>750000</v>
      </c>
    </row>
    <row r="111" spans="1:46" ht="12.75" customHeight="1" x14ac:dyDescent="0.25">
      <c r="A111" s="17">
        <f t="shared" si="3"/>
        <v>103</v>
      </c>
      <c r="B111" s="18"/>
      <c r="C111" s="18" t="b">
        <v>1</v>
      </c>
      <c r="D111" s="18">
        <v>130</v>
      </c>
      <c r="E111" s="18">
        <v>130</v>
      </c>
      <c r="F111" s="18" t="b">
        <v>0</v>
      </c>
      <c r="G111" s="18" t="s">
        <v>107</v>
      </c>
      <c r="H111" s="18" t="s">
        <v>341</v>
      </c>
      <c r="I111" s="19" t="s">
        <v>342</v>
      </c>
      <c r="J111" s="18"/>
      <c r="K111" s="18" t="s">
        <v>73</v>
      </c>
      <c r="L111" s="18" t="s">
        <v>74</v>
      </c>
      <c r="M111" s="20">
        <v>0.22600000000000001</v>
      </c>
      <c r="N111" s="21">
        <v>23</v>
      </c>
      <c r="O111" s="22" t="str">
        <f>IF(Table_2021_CIP[[#This Row],[Column2]]&lt;10,"A",IF(Table_2021_CIP[[#This Row],[Column2]]&gt;19,"C","B"))</f>
        <v>C</v>
      </c>
      <c r="P111" s="18" t="s">
        <v>343</v>
      </c>
      <c r="Q111" s="23">
        <v>0</v>
      </c>
      <c r="R111" s="23">
        <v>0</v>
      </c>
      <c r="S111" s="23">
        <v>0</v>
      </c>
      <c r="T111" s="23"/>
      <c r="U111" s="23"/>
      <c r="V111" s="23"/>
      <c r="W111" s="23">
        <v>161880.54399999999</v>
      </c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>
        <f>Table_2021_CIP[[#This Row],[TotalYR1]]+S111</f>
        <v>0</v>
      </c>
      <c r="AR111" s="23">
        <f>SUM(Table_2021_CIP[[#This Row],[TotalYR1]:[32-33]])</f>
        <v>161880.54399999999</v>
      </c>
      <c r="AS111" s="23">
        <f>SUM(Table_2021_CIP[[#This Row],[TotalYR1]:[47-48]])</f>
        <v>161880.54399999999</v>
      </c>
      <c r="AT111" s="24">
        <f>SUM(Table_2021_CIP[[#This Row],[22-23]:[47-48]])</f>
        <v>161880.54399999999</v>
      </c>
    </row>
    <row r="112" spans="1:46" ht="12.75" customHeight="1" x14ac:dyDescent="0.25">
      <c r="A112" s="25">
        <f t="shared" si="3"/>
        <v>104</v>
      </c>
      <c r="B112" t="s">
        <v>101</v>
      </c>
      <c r="C112" t="b">
        <v>0</v>
      </c>
      <c r="D112">
        <v>130</v>
      </c>
      <c r="E112">
        <v>130</v>
      </c>
      <c r="F112" t="b">
        <v>0</v>
      </c>
      <c r="G112" t="s">
        <v>107</v>
      </c>
      <c r="H112" t="s">
        <v>344</v>
      </c>
      <c r="I112" s="26" t="s">
        <v>345</v>
      </c>
      <c r="J112"/>
      <c r="K112" t="s">
        <v>73</v>
      </c>
      <c r="L112" t="s">
        <v>85</v>
      </c>
      <c r="M112" s="27">
        <v>0.22600000000000001</v>
      </c>
      <c r="N112" s="28">
        <v>15</v>
      </c>
      <c r="O112" s="29" t="str">
        <f>IF(Table_2021_CIP[[#This Row],[Column2]]&lt;10,"A",IF(Table_2021_CIP[[#This Row],[Column2]]&gt;19,"C","B"))</f>
        <v>B</v>
      </c>
      <c r="P112" t="s">
        <v>346</v>
      </c>
      <c r="Q112" s="30"/>
      <c r="R112" s="30">
        <v>0</v>
      </c>
      <c r="S112" s="30">
        <v>0</v>
      </c>
      <c r="T112" s="30"/>
      <c r="U112" s="30"/>
      <c r="V112" s="30">
        <v>307697.65999999997</v>
      </c>
      <c r="W112" s="30">
        <v>2138684.7400000002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>
        <f>Table_2021_CIP[[#This Row],[TotalYR1]]+S112</f>
        <v>0</v>
      </c>
      <c r="AR112" s="30">
        <f>SUM(Table_2021_CIP[[#This Row],[TotalYR1]:[32-33]])</f>
        <v>2446382.4000000004</v>
      </c>
      <c r="AS112" s="30">
        <f>SUM(Table_2021_CIP[[#This Row],[TotalYR1]:[47-48]])</f>
        <v>2446382.4000000004</v>
      </c>
      <c r="AT112" s="24">
        <f>SUM(Table_2021_CIP[[#This Row],[22-23]:[47-48]])</f>
        <v>2446382.4000000004</v>
      </c>
    </row>
    <row r="113" spans="1:46" ht="12.75" customHeight="1" x14ac:dyDescent="0.25">
      <c r="A113" s="25">
        <f t="shared" si="3"/>
        <v>105</v>
      </c>
      <c r="B113" t="s">
        <v>81</v>
      </c>
      <c r="C113" t="b">
        <v>0</v>
      </c>
      <c r="D113">
        <v>130</v>
      </c>
      <c r="E113">
        <v>130</v>
      </c>
      <c r="F113" t="b">
        <v>0</v>
      </c>
      <c r="G113" t="s">
        <v>107</v>
      </c>
      <c r="H113" t="s">
        <v>347</v>
      </c>
      <c r="I113" s="26" t="s">
        <v>348</v>
      </c>
      <c r="J113"/>
      <c r="K113" t="s">
        <v>73</v>
      </c>
      <c r="L113" t="s">
        <v>85</v>
      </c>
      <c r="M113" s="27">
        <v>0.22600000000000001</v>
      </c>
      <c r="N113" s="28">
        <v>1</v>
      </c>
      <c r="O113" s="29" t="str">
        <f>IF(Table_2021_CIP[[#This Row],[Column2]]&lt;10,"A",IF(Table_2021_CIP[[#This Row],[Column2]]&gt;19,"C","B"))</f>
        <v>A</v>
      </c>
      <c r="P113" t="s">
        <v>349</v>
      </c>
      <c r="Q113" s="30"/>
      <c r="R113" s="30">
        <f>20000</f>
        <v>20000</v>
      </c>
      <c r="S113" s="30">
        <v>192960</v>
      </c>
      <c r="T113" s="30">
        <v>175209.8</v>
      </c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>
        <f>Table_2021_CIP[[#This Row],[TotalYR1]]+S113</f>
        <v>212960</v>
      </c>
      <c r="AR113" s="30">
        <f>SUM(Table_2021_CIP[[#This Row],[TotalYR1]:[32-33]])</f>
        <v>388169.8</v>
      </c>
      <c r="AS113" s="30">
        <f>SUM(Table_2021_CIP[[#This Row],[TotalYR1]:[47-48]])</f>
        <v>388169.8</v>
      </c>
      <c r="AT113" s="24">
        <f>SUM(Table_2021_CIP[[#This Row],[22-23]:[47-48]])</f>
        <v>388169.8</v>
      </c>
    </row>
    <row r="114" spans="1:46" ht="12.75" customHeight="1" x14ac:dyDescent="0.25">
      <c r="A114" s="25">
        <f t="shared" si="3"/>
        <v>106</v>
      </c>
      <c r="B114" t="s">
        <v>81</v>
      </c>
      <c r="C114" t="b">
        <v>0</v>
      </c>
      <c r="D114">
        <v>130</v>
      </c>
      <c r="E114">
        <v>130</v>
      </c>
      <c r="F114" t="b">
        <v>0</v>
      </c>
      <c r="G114" t="s">
        <v>107</v>
      </c>
      <c r="H114" t="s">
        <v>350</v>
      </c>
      <c r="I114" s="26" t="s">
        <v>351</v>
      </c>
      <c r="J114" t="s">
        <v>154</v>
      </c>
      <c r="K114" t="s">
        <v>73</v>
      </c>
      <c r="L114" t="s">
        <v>85</v>
      </c>
      <c r="M114" s="27">
        <v>0.22600000000000001</v>
      </c>
      <c r="N114" s="28">
        <v>7</v>
      </c>
      <c r="O114" s="29" t="str">
        <f>IF(Table_2021_CIP[[#This Row],[Column2]]&lt;10,"A",IF(Table_2021_CIP[[#This Row],[Column2]]&gt;19,"C","B"))</f>
        <v>A</v>
      </c>
      <c r="P114" t="s">
        <v>352</v>
      </c>
      <c r="Q114" s="30"/>
      <c r="R114" s="30">
        <v>0</v>
      </c>
      <c r="S114" s="30">
        <v>0</v>
      </c>
      <c r="T114" s="30">
        <f>1717624-1500000</f>
        <v>217624</v>
      </c>
      <c r="U114" s="30">
        <f>11505903-10000000</f>
        <v>1505903</v>
      </c>
      <c r="V114" s="30">
        <f>11505903-5000000</f>
        <v>6505903</v>
      </c>
      <c r="W114" s="30">
        <v>15000000</v>
      </c>
      <c r="X114" s="30">
        <v>1500000</v>
      </c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>
        <f>Table_2021_CIP[[#This Row],[TotalYR1]]+S114</f>
        <v>0</v>
      </c>
      <c r="AR114" s="30">
        <f>SUM(Table_2021_CIP[[#This Row],[TotalYR1]:[32-33]])</f>
        <v>24729430</v>
      </c>
      <c r="AS114" s="30">
        <f>SUM(Table_2021_CIP[[#This Row],[TotalYR1]:[47-48]])</f>
        <v>24729430</v>
      </c>
      <c r="AT114" s="24">
        <f>SUM(Table_2021_CIP[[#This Row],[22-23]:[47-48]])</f>
        <v>24729430</v>
      </c>
    </row>
    <row r="115" spans="1:46" ht="12.75" customHeight="1" x14ac:dyDescent="0.25">
      <c r="A115" s="25">
        <f t="shared" si="3"/>
        <v>107</v>
      </c>
      <c r="B115" t="s">
        <v>81</v>
      </c>
      <c r="C115" t="b">
        <v>0</v>
      </c>
      <c r="D115">
        <v>130</v>
      </c>
      <c r="E115">
        <v>130</v>
      </c>
      <c r="F115" t="b">
        <v>0</v>
      </c>
      <c r="G115" t="s">
        <v>107</v>
      </c>
      <c r="H115" t="s">
        <v>353</v>
      </c>
      <c r="I115" s="26" t="s">
        <v>354</v>
      </c>
      <c r="J115" t="s">
        <v>154</v>
      </c>
      <c r="K115" t="s">
        <v>73</v>
      </c>
      <c r="L115" t="s">
        <v>85</v>
      </c>
      <c r="M115" s="27">
        <v>0.22600000000000001</v>
      </c>
      <c r="N115" s="28">
        <v>1</v>
      </c>
      <c r="O115" s="29" t="str">
        <f>IF(Table_2021_CIP[[#This Row],[Column2]]&lt;10,"A",IF(Table_2021_CIP[[#This Row],[Column2]]&gt;19,"C","B"))</f>
        <v>A</v>
      </c>
      <c r="P115" t="s">
        <v>355</v>
      </c>
      <c r="Q115" s="30"/>
      <c r="R115" s="30">
        <v>0</v>
      </c>
      <c r="S115" s="30">
        <v>0</v>
      </c>
      <c r="T115" s="30"/>
      <c r="U115" s="30"/>
      <c r="V115" s="30">
        <v>1697881</v>
      </c>
      <c r="W115" s="30">
        <v>7069028</v>
      </c>
      <c r="X115" s="30">
        <v>7069028</v>
      </c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>
        <f>Table_2021_CIP[[#This Row],[TotalYR1]]+S115</f>
        <v>0</v>
      </c>
      <c r="AR115" s="30">
        <f>SUM(Table_2021_CIP[[#This Row],[TotalYR1]:[32-33]])</f>
        <v>15835937</v>
      </c>
      <c r="AS115" s="30">
        <f>SUM(Table_2021_CIP[[#This Row],[TotalYR1]:[47-48]])</f>
        <v>15835937</v>
      </c>
      <c r="AT115" s="24">
        <f>SUM(Table_2021_CIP[[#This Row],[22-23]:[47-48]])</f>
        <v>15835937</v>
      </c>
    </row>
    <row r="116" spans="1:46" ht="12.75" customHeight="1" x14ac:dyDescent="0.25">
      <c r="A116" s="25">
        <f t="shared" si="3"/>
        <v>108</v>
      </c>
      <c r="B116" t="s">
        <v>100</v>
      </c>
      <c r="C116" t="b">
        <v>0</v>
      </c>
      <c r="D116">
        <v>130</v>
      </c>
      <c r="E116">
        <v>130</v>
      </c>
      <c r="F116" t="b">
        <v>0</v>
      </c>
      <c r="G116" t="s">
        <v>107</v>
      </c>
      <c r="H116" t="s">
        <v>356</v>
      </c>
      <c r="I116" s="26" t="s">
        <v>357</v>
      </c>
      <c r="J116" t="s">
        <v>154</v>
      </c>
      <c r="K116" t="s">
        <v>73</v>
      </c>
      <c r="L116" t="s">
        <v>85</v>
      </c>
      <c r="M116" s="27">
        <v>0.22600000000000001</v>
      </c>
      <c r="N116" s="28">
        <v>1</v>
      </c>
      <c r="O116" s="29" t="str">
        <f>IF(Table_2021_CIP[[#This Row],[Column2]]&lt;10,"A",IF(Table_2021_CIP[[#This Row],[Column2]]&gt;19,"C","B"))</f>
        <v>A</v>
      </c>
      <c r="P116" t="s">
        <v>358</v>
      </c>
      <c r="Q116" s="30"/>
      <c r="R116" s="30">
        <v>0</v>
      </c>
      <c r="S116" s="30">
        <v>0</v>
      </c>
      <c r="T116" s="30"/>
      <c r="U116" s="30"/>
      <c r="V116" s="30"/>
      <c r="W116" s="30"/>
      <c r="X116" s="30">
        <f>1737366-1500000</f>
        <v>237366</v>
      </c>
      <c r="Y116" s="30">
        <f>2893370-2000000</f>
        <v>893370</v>
      </c>
      <c r="Z116" s="30">
        <v>2893370</v>
      </c>
      <c r="AA116" s="30">
        <v>1500000</v>
      </c>
      <c r="AB116" s="30">
        <v>2000000</v>
      </c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>
        <f>Table_2021_CIP[[#This Row],[TotalYR1]]+S116</f>
        <v>0</v>
      </c>
      <c r="AR116" s="30">
        <f>SUM(Table_2021_CIP[[#This Row],[TotalYR1]:[32-33]])</f>
        <v>5524106</v>
      </c>
      <c r="AS116" s="30">
        <f>SUM(Table_2021_CIP[[#This Row],[TotalYR1]:[47-48]])</f>
        <v>7524106</v>
      </c>
      <c r="AT116" s="24">
        <f>SUM(Table_2021_CIP[[#This Row],[22-23]:[47-48]])</f>
        <v>7524106</v>
      </c>
    </row>
    <row r="117" spans="1:46" ht="12.75" customHeight="1" x14ac:dyDescent="0.25">
      <c r="A117" s="25">
        <f t="shared" si="3"/>
        <v>109</v>
      </c>
      <c r="B117" t="s">
        <v>81</v>
      </c>
      <c r="C117" t="b">
        <v>0</v>
      </c>
      <c r="D117">
        <v>130</v>
      </c>
      <c r="E117">
        <v>130</v>
      </c>
      <c r="F117" t="b">
        <v>0</v>
      </c>
      <c r="G117" t="s">
        <v>107</v>
      </c>
      <c r="H117" t="s">
        <v>359</v>
      </c>
      <c r="I117" s="26" t="s">
        <v>360</v>
      </c>
      <c r="J117" t="s">
        <v>154</v>
      </c>
      <c r="K117" t="s">
        <v>73</v>
      </c>
      <c r="L117" t="s">
        <v>85</v>
      </c>
      <c r="M117" s="27">
        <v>0.22600000000000001</v>
      </c>
      <c r="N117" s="28">
        <v>1</v>
      </c>
      <c r="O117" s="29" t="str">
        <f>IF(Table_2021_CIP[[#This Row],[Column2]]&lt;10,"A",IF(Table_2021_CIP[[#This Row],[Column2]]&gt;19,"C","B"))</f>
        <v>A</v>
      </c>
      <c r="P117" t="s">
        <v>361</v>
      </c>
      <c r="Q117" s="30"/>
      <c r="R117" s="30">
        <v>0</v>
      </c>
      <c r="S117" s="30">
        <v>0</v>
      </c>
      <c r="T117" s="30"/>
      <c r="U117" s="30">
        <f>2250679-2000000</f>
        <v>250679</v>
      </c>
      <c r="V117" s="30">
        <v>9247416</v>
      </c>
      <c r="W117" s="30">
        <f>9247416-7000000</f>
        <v>2247416</v>
      </c>
      <c r="X117" s="30">
        <f>2000000</f>
        <v>2000000</v>
      </c>
      <c r="Y117" s="30">
        <v>7000000</v>
      </c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>
        <f>Table_2021_CIP[[#This Row],[TotalYR1]]+S117</f>
        <v>0</v>
      </c>
      <c r="AR117" s="30">
        <f>SUM(Table_2021_CIP[[#This Row],[TotalYR1]:[32-33]])</f>
        <v>20745511</v>
      </c>
      <c r="AS117" s="30">
        <f>SUM(Table_2021_CIP[[#This Row],[TotalYR1]:[47-48]])</f>
        <v>20745511</v>
      </c>
      <c r="AT117" s="24">
        <f>SUM(Table_2021_CIP[[#This Row],[22-23]:[47-48]])</f>
        <v>20745511</v>
      </c>
    </row>
    <row r="118" spans="1:46" ht="12.75" customHeight="1" x14ac:dyDescent="0.25">
      <c r="A118" s="25">
        <f t="shared" si="3"/>
        <v>110</v>
      </c>
      <c r="B118"/>
      <c r="C118" t="b">
        <v>0</v>
      </c>
      <c r="D118">
        <v>130</v>
      </c>
      <c r="E118">
        <v>130</v>
      </c>
      <c r="F118" t="b">
        <v>0</v>
      </c>
      <c r="G118" t="s">
        <v>107</v>
      </c>
      <c r="H118" t="s">
        <v>362</v>
      </c>
      <c r="I118" s="26" t="s">
        <v>363</v>
      </c>
      <c r="J118" t="s">
        <v>154</v>
      </c>
      <c r="K118" t="s">
        <v>73</v>
      </c>
      <c r="L118" t="s">
        <v>85</v>
      </c>
      <c r="M118" s="27">
        <v>0.22600000000000001</v>
      </c>
      <c r="N118" s="28">
        <v>7</v>
      </c>
      <c r="O118" s="29" t="str">
        <f>IF(Table_2021_CIP[[#This Row],[Column2]]&lt;10,"A",IF(Table_2021_CIP[[#This Row],[Column2]]&gt;19,"C","B"))</f>
        <v>A</v>
      </c>
      <c r="P118" t="s">
        <v>364</v>
      </c>
      <c r="Q118" s="30"/>
      <c r="R118" s="30">
        <v>0</v>
      </c>
      <c r="S118" s="30">
        <v>0</v>
      </c>
      <c r="T118" s="30"/>
      <c r="U118" s="30"/>
      <c r="V118" s="30"/>
      <c r="W118" s="30"/>
      <c r="X118" s="30"/>
      <c r="Y118" s="30"/>
      <c r="Z118" s="30"/>
      <c r="AA118" s="30"/>
      <c r="AB118" s="30">
        <v>1599167</v>
      </c>
      <c r="AC118" s="30">
        <v>5235120</v>
      </c>
      <c r="AD118" s="30">
        <v>5235120</v>
      </c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>
        <f>Table_2021_CIP[[#This Row],[TotalYR1]]+S118</f>
        <v>0</v>
      </c>
      <c r="AR118" s="30">
        <f>SUM(Table_2021_CIP[[#This Row],[TotalYR1]:[32-33]])</f>
        <v>0</v>
      </c>
      <c r="AS118" s="30">
        <f>SUM(Table_2021_CIP[[#This Row],[TotalYR1]:[47-48]])</f>
        <v>12069407</v>
      </c>
      <c r="AT118" s="24">
        <f>SUM(Table_2021_CIP[[#This Row],[22-23]:[47-48]])</f>
        <v>12069407</v>
      </c>
    </row>
    <row r="119" spans="1:46" ht="12.75" customHeight="1" x14ac:dyDescent="0.25">
      <c r="A119" s="25">
        <f t="shared" si="3"/>
        <v>111</v>
      </c>
      <c r="B119" t="s">
        <v>81</v>
      </c>
      <c r="C119" t="b">
        <v>0</v>
      </c>
      <c r="D119">
        <v>130</v>
      </c>
      <c r="E119">
        <v>130</v>
      </c>
      <c r="F119" t="b">
        <v>0</v>
      </c>
      <c r="G119" t="s">
        <v>107</v>
      </c>
      <c r="H119" t="s">
        <v>153</v>
      </c>
      <c r="I119" s="26" t="s">
        <v>365</v>
      </c>
      <c r="J119" t="s">
        <v>154</v>
      </c>
      <c r="K119" t="s">
        <v>73</v>
      </c>
      <c r="L119" t="s">
        <v>85</v>
      </c>
      <c r="M119" s="27">
        <v>0.22600000000000001</v>
      </c>
      <c r="N119" s="28">
        <v>16</v>
      </c>
      <c r="O119" s="29" t="str">
        <f>IF(Table_2021_CIP[[#This Row],[Column2]]&lt;10,"A",IF(Table_2021_CIP[[#This Row],[Column2]]&gt;19,"C","B"))</f>
        <v>B</v>
      </c>
      <c r="P119" t="s">
        <v>366</v>
      </c>
      <c r="Q119" s="30">
        <v>76429</v>
      </c>
      <c r="R119" s="30">
        <v>617716.22400000005</v>
      </c>
      <c r="S119" s="30">
        <f>7191334.128-5000000</f>
        <v>2191334.1279999996</v>
      </c>
      <c r="T119" s="30">
        <f>8239969-4000000-2000000-1000000</f>
        <v>1239969</v>
      </c>
      <c r="U119" s="30">
        <f>2289279+1000000</f>
        <v>3289279</v>
      </c>
      <c r="V119" s="30">
        <v>5000000</v>
      </c>
      <c r="W119" s="30">
        <v>4000000</v>
      </c>
      <c r="X119" s="30">
        <v>2000000</v>
      </c>
      <c r="Y119" s="30">
        <v>0</v>
      </c>
      <c r="Z119" s="30">
        <v>0</v>
      </c>
      <c r="AA119" s="30">
        <v>0</v>
      </c>
      <c r="AB119" s="30">
        <v>0</v>
      </c>
      <c r="AC119" s="30">
        <v>0</v>
      </c>
      <c r="AD119" s="30">
        <v>0</v>
      </c>
      <c r="AE119" s="30">
        <v>0</v>
      </c>
      <c r="AF119" s="30">
        <v>0</v>
      </c>
      <c r="AG119" s="30">
        <v>0</v>
      </c>
      <c r="AH119" s="30">
        <v>0</v>
      </c>
      <c r="AI119" s="30">
        <v>0</v>
      </c>
      <c r="AJ119" s="30">
        <v>0</v>
      </c>
      <c r="AK119" s="30">
        <v>0</v>
      </c>
      <c r="AL119" s="30">
        <v>0</v>
      </c>
      <c r="AM119" s="30">
        <v>0</v>
      </c>
      <c r="AN119" s="30">
        <v>0</v>
      </c>
      <c r="AO119" s="30">
        <v>0</v>
      </c>
      <c r="AP119" s="30">
        <v>0</v>
      </c>
      <c r="AQ119" s="30">
        <f>Table_2021_CIP[[#This Row],[TotalYR1]]+S119</f>
        <v>2809050.3519999995</v>
      </c>
      <c r="AR119" s="30">
        <f>SUM(Table_2021_CIP[[#This Row],[TotalYR1]:[32-33]])</f>
        <v>18338298.351999998</v>
      </c>
      <c r="AS119" s="30">
        <f>SUM(Table_2021_CIP[[#This Row],[TotalYR1]:[47-48]])</f>
        <v>18338298.351999998</v>
      </c>
      <c r="AT119" s="24">
        <f>SUM(Table_2021_CIP[[#This Row],[22-23]:[47-48]])</f>
        <v>18414727.351999998</v>
      </c>
    </row>
    <row r="120" spans="1:46" ht="12.75" customHeight="1" x14ac:dyDescent="0.25">
      <c r="A120" s="25">
        <f t="shared" si="3"/>
        <v>112</v>
      </c>
      <c r="B120" t="s">
        <v>81</v>
      </c>
      <c r="C120" t="b">
        <v>0</v>
      </c>
      <c r="D120">
        <v>130</v>
      </c>
      <c r="E120">
        <v>130</v>
      </c>
      <c r="F120" t="b">
        <v>0</v>
      </c>
      <c r="G120" t="s">
        <v>107</v>
      </c>
      <c r="H120" t="s">
        <v>367</v>
      </c>
      <c r="I120" s="26" t="s">
        <v>368</v>
      </c>
      <c r="J120" t="s">
        <v>154</v>
      </c>
      <c r="K120" t="s">
        <v>73</v>
      </c>
      <c r="L120" t="s">
        <v>85</v>
      </c>
      <c r="M120" s="27">
        <v>0.22600000000000001</v>
      </c>
      <c r="N120" s="28">
        <v>10</v>
      </c>
      <c r="O120" s="29" t="str">
        <f>IF(Table_2021_CIP[[#This Row],[Column2]]&lt;10,"A",IF(Table_2021_CIP[[#This Row],[Column2]]&gt;19,"C","B"))</f>
        <v>B</v>
      </c>
      <c r="P120" t="s">
        <v>369</v>
      </c>
      <c r="Q120" s="30"/>
      <c r="R120" s="30">
        <f>3062000.784/2</f>
        <v>1531000.392</v>
      </c>
      <c r="S120" s="30">
        <v>1530999.064</v>
      </c>
      <c r="T120" s="30">
        <f>Table_2021_CIP[[#This Row],[TotalYR1]]</f>
        <v>1531000.392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>
        <f>Table_2021_CIP[[#This Row],[TotalYR1]]+S120</f>
        <v>3061999.4560000002</v>
      </c>
      <c r="AR120" s="30">
        <f>SUM(Table_2021_CIP[[#This Row],[TotalYR1]:[32-33]])</f>
        <v>4592999.8480000002</v>
      </c>
      <c r="AS120" s="30">
        <f>SUM(Table_2021_CIP[[#This Row],[TotalYR1]:[47-48]])</f>
        <v>4592999.8480000002</v>
      </c>
      <c r="AT120" s="24">
        <f>SUM(Table_2021_CIP[[#This Row],[22-23]:[47-48]])</f>
        <v>4592999.8480000002</v>
      </c>
    </row>
    <row r="121" spans="1:46" ht="12.75" customHeight="1" x14ac:dyDescent="0.25">
      <c r="A121" s="25">
        <f t="shared" si="3"/>
        <v>113</v>
      </c>
      <c r="B121" t="s">
        <v>81</v>
      </c>
      <c r="C121" t="b">
        <v>0</v>
      </c>
      <c r="D121">
        <v>130</v>
      </c>
      <c r="E121">
        <v>130</v>
      </c>
      <c r="F121" t="b">
        <v>0</v>
      </c>
      <c r="G121" t="s">
        <v>107</v>
      </c>
      <c r="H121" t="s">
        <v>370</v>
      </c>
      <c r="I121" s="26" t="s">
        <v>371</v>
      </c>
      <c r="J121" t="s">
        <v>154</v>
      </c>
      <c r="K121" t="s">
        <v>73</v>
      </c>
      <c r="L121" t="s">
        <v>85</v>
      </c>
      <c r="M121" s="27">
        <v>0.22600000000000001</v>
      </c>
      <c r="N121" s="28"/>
      <c r="O121" s="33" t="s">
        <v>299</v>
      </c>
      <c r="P121" t="s">
        <v>372</v>
      </c>
      <c r="Q121" s="30"/>
      <c r="R121" s="30">
        <v>0</v>
      </c>
      <c r="S121" s="30">
        <v>0</v>
      </c>
      <c r="T121" s="30"/>
      <c r="U121" s="30"/>
      <c r="V121" s="30"/>
      <c r="W121" s="30"/>
      <c r="X121" s="30"/>
      <c r="Y121" s="30"/>
      <c r="Z121" s="30"/>
      <c r="AA121" s="30"/>
      <c r="AB121" s="30">
        <v>1737366</v>
      </c>
      <c r="AC121" s="30">
        <v>8932022</v>
      </c>
      <c r="AD121" s="30">
        <v>8932022</v>
      </c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>
        <f>Table_2021_CIP[[#This Row],[TotalYR1]]+S121</f>
        <v>0</v>
      </c>
      <c r="AR121" s="30">
        <f>SUM(Table_2021_CIP[[#This Row],[TotalYR1]:[32-33]])</f>
        <v>0</v>
      </c>
      <c r="AS121" s="30">
        <f>SUM(Table_2021_CIP[[#This Row],[TotalYR1]:[47-48]])</f>
        <v>19601410</v>
      </c>
      <c r="AT121" s="24">
        <f>SUM(Table_2021_CIP[[#This Row],[22-23]:[47-48]])</f>
        <v>19601410</v>
      </c>
    </row>
    <row r="122" spans="1:46" ht="12.75" customHeight="1" x14ac:dyDescent="0.25">
      <c r="A122" s="25">
        <f t="shared" si="3"/>
        <v>114</v>
      </c>
      <c r="B122" t="s">
        <v>81</v>
      </c>
      <c r="C122" t="b">
        <v>0</v>
      </c>
      <c r="D122">
        <v>130</v>
      </c>
      <c r="E122">
        <v>130</v>
      </c>
      <c r="F122" t="b">
        <v>0</v>
      </c>
      <c r="G122" t="s">
        <v>107</v>
      </c>
      <c r="H122" t="s">
        <v>373</v>
      </c>
      <c r="I122" s="26" t="s">
        <v>374</v>
      </c>
      <c r="J122" t="s">
        <v>154</v>
      </c>
      <c r="K122" t="s">
        <v>73</v>
      </c>
      <c r="L122" t="s">
        <v>85</v>
      </c>
      <c r="M122" s="27">
        <v>0.22600000000000001</v>
      </c>
      <c r="N122" s="28">
        <v>1</v>
      </c>
      <c r="O122" s="29" t="str">
        <f>IF(Table_2021_CIP[[#This Row],[Column2]]&lt;10,"A",IF(Table_2021_CIP[[#This Row],[Column2]]&gt;19,"C","B"))</f>
        <v>A</v>
      </c>
      <c r="P122" t="s">
        <v>375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0">
        <v>0</v>
      </c>
      <c r="X122" s="30">
        <v>0</v>
      </c>
      <c r="Y122" s="30">
        <v>0</v>
      </c>
      <c r="Z122" s="30">
        <v>3143448</v>
      </c>
      <c r="AA122" s="30">
        <v>9185491</v>
      </c>
      <c r="AB122" s="30">
        <v>9185491</v>
      </c>
      <c r="AC122" s="30">
        <v>0</v>
      </c>
      <c r="AD122" s="30">
        <v>0</v>
      </c>
      <c r="AE122" s="30">
        <v>0</v>
      </c>
      <c r="AF122" s="30">
        <v>0</v>
      </c>
      <c r="AG122" s="30">
        <v>0</v>
      </c>
      <c r="AH122" s="30">
        <v>0</v>
      </c>
      <c r="AI122" s="30">
        <v>0</v>
      </c>
      <c r="AJ122" s="30">
        <v>0</v>
      </c>
      <c r="AK122" s="30">
        <v>0</v>
      </c>
      <c r="AL122" s="30">
        <v>0</v>
      </c>
      <c r="AM122" s="30">
        <v>0</v>
      </c>
      <c r="AN122" s="30">
        <v>0</v>
      </c>
      <c r="AO122" s="30">
        <v>0</v>
      </c>
      <c r="AP122" s="30">
        <v>0</v>
      </c>
      <c r="AQ122" s="30">
        <f>Table_2021_CIP[[#This Row],[TotalYR1]]+S122</f>
        <v>0</v>
      </c>
      <c r="AR122" s="30">
        <f>SUM(Table_2021_CIP[[#This Row],[TotalYR1]:[32-33]])</f>
        <v>12328939</v>
      </c>
      <c r="AS122" s="30">
        <f>SUM(Table_2021_CIP[[#This Row],[TotalYR1]:[47-48]])</f>
        <v>21514430</v>
      </c>
      <c r="AT122" s="24">
        <f>SUM(Table_2021_CIP[[#This Row],[22-23]:[47-48]])</f>
        <v>21514430</v>
      </c>
    </row>
    <row r="123" spans="1:46" ht="12.75" customHeight="1" x14ac:dyDescent="0.25">
      <c r="A123" s="17">
        <f t="shared" si="3"/>
        <v>115</v>
      </c>
      <c r="B123" s="18" t="s">
        <v>70</v>
      </c>
      <c r="C123" s="18" t="b">
        <v>1</v>
      </c>
      <c r="D123" s="18">
        <v>140</v>
      </c>
      <c r="E123" s="18">
        <v>140</v>
      </c>
      <c r="F123" s="18" t="b">
        <v>0</v>
      </c>
      <c r="G123" s="18" t="s">
        <v>82</v>
      </c>
      <c r="H123" s="18" t="s">
        <v>376</v>
      </c>
      <c r="I123" s="19" t="s">
        <v>377</v>
      </c>
      <c r="J123" s="34"/>
      <c r="K123" s="18" t="s">
        <v>73</v>
      </c>
      <c r="L123" s="18" t="s">
        <v>74</v>
      </c>
      <c r="M123" s="20">
        <v>0</v>
      </c>
      <c r="N123" s="21">
        <v>9</v>
      </c>
      <c r="O123" s="22" t="str">
        <f>IF(Table_2021_CIP[[#This Row],[Column2]]&lt;10,"A",IF(Table_2021_CIP[[#This Row],[Column2]]&gt;19,"C","B"))</f>
        <v>A</v>
      </c>
      <c r="P123" s="18" t="s">
        <v>378</v>
      </c>
      <c r="Q123" s="23"/>
      <c r="R123" s="23">
        <v>0</v>
      </c>
      <c r="S123" s="23">
        <v>0</v>
      </c>
      <c r="T123" s="23">
        <v>300000</v>
      </c>
      <c r="U123" s="23"/>
      <c r="V123" s="23"/>
      <c r="W123" s="23"/>
      <c r="X123" s="23"/>
      <c r="Y123" s="23">
        <v>300000</v>
      </c>
      <c r="Z123" s="23"/>
      <c r="AA123" s="23"/>
      <c r="AB123" s="23"/>
      <c r="AC123" s="23"/>
      <c r="AD123" s="23">
        <v>300000</v>
      </c>
      <c r="AE123" s="23"/>
      <c r="AF123" s="23"/>
      <c r="AG123" s="23"/>
      <c r="AH123" s="23"/>
      <c r="AI123" s="23">
        <v>300000</v>
      </c>
      <c r="AJ123" s="23"/>
      <c r="AK123" s="23"/>
      <c r="AL123" s="23"/>
      <c r="AM123" s="23"/>
      <c r="AN123" s="23">
        <v>300000</v>
      </c>
      <c r="AO123" s="23"/>
      <c r="AP123" s="23"/>
      <c r="AQ123" s="23">
        <f>Table_2021_CIP[[#This Row],[TotalYR1]]+S123</f>
        <v>0</v>
      </c>
      <c r="AR123" s="23">
        <f>SUM(Table_2021_CIP[[#This Row],[TotalYR1]:[32-33]])</f>
        <v>600000</v>
      </c>
      <c r="AS123" s="23">
        <f>SUM(Table_2021_CIP[[#This Row],[TotalYR1]:[47-48]])</f>
        <v>1500000</v>
      </c>
      <c r="AT123" s="24">
        <f>SUM(Table_2021_CIP[[#This Row],[22-23]:[47-48]])</f>
        <v>1500000</v>
      </c>
    </row>
    <row r="124" spans="1:46" ht="12.75" customHeight="1" x14ac:dyDescent="0.25">
      <c r="A124" s="25">
        <f t="shared" si="3"/>
        <v>116</v>
      </c>
      <c r="B124" t="s">
        <v>100</v>
      </c>
      <c r="C124" t="b">
        <v>0</v>
      </c>
      <c r="D124">
        <v>140</v>
      </c>
      <c r="E124">
        <v>140</v>
      </c>
      <c r="F124" t="b">
        <v>0</v>
      </c>
      <c r="G124" t="s">
        <v>82</v>
      </c>
      <c r="H124" t="s">
        <v>379</v>
      </c>
      <c r="I124" s="26" t="s">
        <v>380</v>
      </c>
      <c r="K124" t="s">
        <v>103</v>
      </c>
      <c r="L124" t="s">
        <v>85</v>
      </c>
      <c r="M124" s="27">
        <v>0</v>
      </c>
      <c r="N124" s="28">
        <v>26</v>
      </c>
      <c r="O124" s="29" t="str">
        <f>IF(Table_2021_CIP[[#This Row],[Column2]]&lt;10,"A",IF(Table_2021_CIP[[#This Row],[Column2]]&gt;19,"C","B"))</f>
        <v>C</v>
      </c>
      <c r="P124" t="s">
        <v>381</v>
      </c>
      <c r="Q124" s="30">
        <v>25000</v>
      </c>
      <c r="R124" s="30">
        <v>150000</v>
      </c>
      <c r="S124" s="30">
        <v>170000</v>
      </c>
      <c r="T124" s="30">
        <v>50000</v>
      </c>
      <c r="U124" s="30">
        <v>50000</v>
      </c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>
        <f>Table_2021_CIP[[#This Row],[TotalYR1]]+S124</f>
        <v>320000</v>
      </c>
      <c r="AR124" s="30">
        <f>SUM(Table_2021_CIP[[#This Row],[TotalYR1]:[32-33]])</f>
        <v>420000</v>
      </c>
      <c r="AS124" s="30">
        <f>SUM(Table_2021_CIP[[#This Row],[TotalYR1]:[47-48]])</f>
        <v>420000</v>
      </c>
      <c r="AT124" s="24">
        <f>SUM(Table_2021_CIP[[#This Row],[22-23]:[47-48]])</f>
        <v>445000</v>
      </c>
    </row>
    <row r="125" spans="1:46" ht="12.75" customHeight="1" x14ac:dyDescent="0.25">
      <c r="A125" s="17">
        <f t="shared" si="3"/>
        <v>117</v>
      </c>
      <c r="B125" s="18" t="s">
        <v>100</v>
      </c>
      <c r="C125" s="18" t="b">
        <v>1</v>
      </c>
      <c r="D125" s="18">
        <v>140</v>
      </c>
      <c r="E125" s="18">
        <v>130</v>
      </c>
      <c r="F125" s="18" t="b">
        <v>0</v>
      </c>
      <c r="G125" s="18" t="s">
        <v>82</v>
      </c>
      <c r="H125" s="18" t="s">
        <v>382</v>
      </c>
      <c r="I125" s="19" t="s">
        <v>383</v>
      </c>
      <c r="J125" s="34"/>
      <c r="K125" s="18" t="s">
        <v>73</v>
      </c>
      <c r="L125" s="18" t="s">
        <v>74</v>
      </c>
      <c r="M125" s="20">
        <v>0</v>
      </c>
      <c r="N125" s="21">
        <v>1</v>
      </c>
      <c r="O125" s="22" t="str">
        <f>IF(Table_2021_CIP[[#This Row],[Column2]]&lt;10,"A",IF(Table_2021_CIP[[#This Row],[Column2]]&gt;19,"C","B"))</f>
        <v>A</v>
      </c>
      <c r="P125" s="18" t="s">
        <v>384</v>
      </c>
      <c r="Q125" s="23">
        <v>49000</v>
      </c>
      <c r="R125" s="23">
        <v>142512</v>
      </c>
      <c r="S125" s="23">
        <v>26560</v>
      </c>
      <c r="T125" s="23">
        <v>0</v>
      </c>
      <c r="U125" s="23">
        <v>0</v>
      </c>
      <c r="V125" s="23">
        <v>0</v>
      </c>
      <c r="W125" s="23">
        <v>0</v>
      </c>
      <c r="X125" s="23">
        <v>0</v>
      </c>
      <c r="Y125" s="23">
        <v>0</v>
      </c>
      <c r="Z125" s="23">
        <v>0</v>
      </c>
      <c r="AA125" s="23">
        <v>0</v>
      </c>
      <c r="AB125" s="23">
        <v>0</v>
      </c>
      <c r="AC125" s="23">
        <v>0</v>
      </c>
      <c r="AD125" s="23">
        <v>0</v>
      </c>
      <c r="AE125" s="23">
        <v>0</v>
      </c>
      <c r="AF125" s="23">
        <v>0</v>
      </c>
      <c r="AG125" s="23">
        <v>0</v>
      </c>
      <c r="AH125" s="23">
        <v>0</v>
      </c>
      <c r="AI125" s="23">
        <v>0</v>
      </c>
      <c r="AJ125" s="23">
        <v>0</v>
      </c>
      <c r="AK125" s="23">
        <v>0</v>
      </c>
      <c r="AL125" s="23">
        <v>0</v>
      </c>
      <c r="AM125" s="23">
        <v>0</v>
      </c>
      <c r="AN125" s="23">
        <v>0</v>
      </c>
      <c r="AO125" s="23">
        <v>0</v>
      </c>
      <c r="AP125" s="23">
        <v>0</v>
      </c>
      <c r="AQ125" s="23">
        <f>Table_2021_CIP[[#This Row],[TotalYR1]]+S125</f>
        <v>169072</v>
      </c>
      <c r="AR125" s="23">
        <f>SUM(Table_2021_CIP[[#This Row],[TotalYR1]:[32-33]])</f>
        <v>169072</v>
      </c>
      <c r="AS125" s="23">
        <f>SUM(Table_2021_CIP[[#This Row],[TotalYR1]:[47-48]])</f>
        <v>169072</v>
      </c>
      <c r="AT125" s="24">
        <f>SUM(Table_2021_CIP[[#This Row],[22-23]:[47-48]])</f>
        <v>218072</v>
      </c>
    </row>
    <row r="126" spans="1:46" ht="12.75" customHeight="1" x14ac:dyDescent="0.25">
      <c r="A126" s="25">
        <f t="shared" si="3"/>
        <v>118</v>
      </c>
      <c r="B126" t="s">
        <v>70</v>
      </c>
      <c r="C126" t="b">
        <v>0</v>
      </c>
      <c r="D126">
        <v>140</v>
      </c>
      <c r="E126">
        <v>140</v>
      </c>
      <c r="F126" t="b">
        <v>0</v>
      </c>
      <c r="G126" t="s">
        <v>82</v>
      </c>
      <c r="H126" t="s">
        <v>385</v>
      </c>
      <c r="I126" s="26" t="s">
        <v>386</v>
      </c>
      <c r="K126" t="s">
        <v>73</v>
      </c>
      <c r="L126" t="s">
        <v>85</v>
      </c>
      <c r="M126" s="27">
        <v>0</v>
      </c>
      <c r="N126" s="28">
        <v>9</v>
      </c>
      <c r="O126" s="29" t="str">
        <f>IF(Table_2021_CIP[[#This Row],[Column2]]&lt;10,"A",IF(Table_2021_CIP[[#This Row],[Column2]]&gt;19,"C","B"))</f>
        <v>A</v>
      </c>
      <c r="P126" t="s">
        <v>387</v>
      </c>
      <c r="Q126" s="30"/>
      <c r="R126" s="30">
        <v>250000</v>
      </c>
      <c r="S126" s="30">
        <v>25000</v>
      </c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>
        <f>Table_2021_CIP[[#This Row],[TotalYR1]]+S126</f>
        <v>275000</v>
      </c>
      <c r="AR126" s="30">
        <f>SUM(Table_2021_CIP[[#This Row],[TotalYR1]:[32-33]])</f>
        <v>275000</v>
      </c>
      <c r="AS126" s="30">
        <f>SUM(Table_2021_CIP[[#This Row],[TotalYR1]:[47-48]])</f>
        <v>275000</v>
      </c>
      <c r="AT126" s="24">
        <f>SUM(Table_2021_CIP[[#This Row],[22-23]:[47-48]])</f>
        <v>275000</v>
      </c>
    </row>
    <row r="127" spans="1:46" ht="12.75" customHeight="1" x14ac:dyDescent="0.25">
      <c r="A127" s="17">
        <f t="shared" si="3"/>
        <v>119</v>
      </c>
      <c r="B127" s="18" t="s">
        <v>101</v>
      </c>
      <c r="C127" s="18" t="b">
        <v>1</v>
      </c>
      <c r="D127" s="18">
        <v>253</v>
      </c>
      <c r="E127" s="18">
        <v>253</v>
      </c>
      <c r="F127" s="18" t="b">
        <v>0</v>
      </c>
      <c r="G127" s="18" t="s">
        <v>107</v>
      </c>
      <c r="H127" s="18" t="s">
        <v>388</v>
      </c>
      <c r="I127" s="19" t="s">
        <v>389</v>
      </c>
      <c r="J127" s="34"/>
      <c r="K127" s="18" t="s">
        <v>73</v>
      </c>
      <c r="L127" s="18" t="s">
        <v>74</v>
      </c>
      <c r="M127" s="20">
        <v>0.10000000149011599</v>
      </c>
      <c r="N127" s="21">
        <v>11</v>
      </c>
      <c r="O127" s="22" t="str">
        <f>IF(Table_2021_CIP[[#This Row],[Column2]]&lt;10,"A",IF(Table_2021_CIP[[#This Row],[Column2]]&gt;19,"C","B"))</f>
        <v>B</v>
      </c>
      <c r="P127" s="18" t="s">
        <v>390</v>
      </c>
      <c r="Q127" s="23"/>
      <c r="R127" s="23">
        <v>225000</v>
      </c>
      <c r="S127" s="23">
        <v>10000</v>
      </c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>
        <f>Table_2021_CIP[[#This Row],[TotalYR1]]+S127</f>
        <v>235000</v>
      </c>
      <c r="AR127" s="23">
        <f>SUM(Table_2021_CIP[[#This Row],[TotalYR1]:[32-33]])</f>
        <v>235000</v>
      </c>
      <c r="AS127" s="23">
        <f>SUM(Table_2021_CIP[[#This Row],[TotalYR1]:[47-48]])</f>
        <v>235000</v>
      </c>
      <c r="AT127" s="24">
        <f>SUM(Table_2021_CIP[[#This Row],[22-23]:[47-48]])</f>
        <v>235000</v>
      </c>
    </row>
    <row r="128" spans="1:46" ht="12.75" customHeight="1" x14ac:dyDescent="0.25">
      <c r="A128" s="25">
        <f t="shared" si="3"/>
        <v>120</v>
      </c>
      <c r="B128" t="s">
        <v>81</v>
      </c>
      <c r="C128" t="b">
        <v>0</v>
      </c>
      <c r="D128">
        <v>120</v>
      </c>
      <c r="E128">
        <v>220</v>
      </c>
      <c r="F128" t="b">
        <v>0</v>
      </c>
      <c r="G128" t="s">
        <v>391</v>
      </c>
      <c r="H128" t="s">
        <v>392</v>
      </c>
      <c r="I128" s="26" t="s">
        <v>393</v>
      </c>
      <c r="J128" s="2" t="s">
        <v>394</v>
      </c>
      <c r="K128" t="s">
        <v>103</v>
      </c>
      <c r="L128" t="s">
        <v>85</v>
      </c>
      <c r="M128" s="27">
        <v>0</v>
      </c>
      <c r="N128" s="28">
        <v>9</v>
      </c>
      <c r="O128" s="29" t="str">
        <f>IF(Table_2021_CIP[[#This Row],[Column2]]&lt;10,"A",IF(Table_2021_CIP[[#This Row],[Column2]]&gt;19,"C","B"))</f>
        <v>A</v>
      </c>
      <c r="P128" t="s">
        <v>395</v>
      </c>
      <c r="Q128" s="30">
        <v>4458709.28</v>
      </c>
      <c r="R128" s="30">
        <v>3799998.5</v>
      </c>
      <c r="S128" s="30">
        <v>3799998.5</v>
      </c>
      <c r="T128" s="30">
        <v>3799998.5</v>
      </c>
      <c r="U128" s="30">
        <v>3799998.5</v>
      </c>
      <c r="V128" s="30">
        <v>3799998.5</v>
      </c>
      <c r="W128" s="30">
        <v>3000000</v>
      </c>
      <c r="X128" s="30">
        <v>3000000</v>
      </c>
      <c r="Y128" s="30">
        <v>3000000</v>
      </c>
      <c r="Z128" s="30">
        <v>3000000</v>
      </c>
      <c r="AA128" s="30">
        <v>3000000</v>
      </c>
      <c r="AB128" s="30">
        <v>3000000</v>
      </c>
      <c r="AC128" s="30">
        <v>3000000</v>
      </c>
      <c r="AD128" s="30">
        <v>3000000</v>
      </c>
      <c r="AE128" s="30">
        <v>3000000</v>
      </c>
      <c r="AF128" s="30">
        <v>3000000</v>
      </c>
      <c r="AG128" s="30">
        <v>3000000</v>
      </c>
      <c r="AH128" s="30">
        <v>3000000</v>
      </c>
      <c r="AI128" s="30">
        <v>3000000</v>
      </c>
      <c r="AJ128" s="30">
        <v>3000000</v>
      </c>
      <c r="AK128" s="30">
        <v>3000000</v>
      </c>
      <c r="AL128" s="30">
        <v>3000000</v>
      </c>
      <c r="AM128" s="30">
        <v>3000000</v>
      </c>
      <c r="AN128" s="30">
        <v>3000000</v>
      </c>
      <c r="AO128" s="30">
        <v>3000000</v>
      </c>
      <c r="AP128" s="30">
        <v>3000000</v>
      </c>
      <c r="AQ128" s="30">
        <f>Table_2021_CIP[[#This Row],[TotalYR1]]+S128</f>
        <v>7599997</v>
      </c>
      <c r="AR128" s="30">
        <f>SUM(Table_2021_CIP[[#This Row],[TotalYR1]:[32-33]])</f>
        <v>33999992.5</v>
      </c>
      <c r="AS128" s="30">
        <f>SUM(Table_2021_CIP[[#This Row],[TotalYR1]:[47-48]])</f>
        <v>78999992.5</v>
      </c>
      <c r="AT128" s="24">
        <f>SUM(Table_2021_CIP[[#This Row],[22-23]:[47-48]])</f>
        <v>83458701.780000001</v>
      </c>
    </row>
    <row r="129" spans="1:46" ht="12.75" customHeight="1" x14ac:dyDescent="0.25">
      <c r="A129" s="25">
        <f t="shared" si="3"/>
        <v>121</v>
      </c>
      <c r="B129" t="s">
        <v>81</v>
      </c>
      <c r="C129" t="b">
        <v>0</v>
      </c>
      <c r="D129">
        <v>220</v>
      </c>
      <c r="E129">
        <v>220</v>
      </c>
      <c r="F129" t="b">
        <v>0</v>
      </c>
      <c r="G129" t="s">
        <v>107</v>
      </c>
      <c r="H129" t="s">
        <v>396</v>
      </c>
      <c r="I129" s="26" t="s">
        <v>397</v>
      </c>
      <c r="K129" t="s">
        <v>73</v>
      </c>
      <c r="L129" t="s">
        <v>85</v>
      </c>
      <c r="M129" s="27">
        <v>0</v>
      </c>
      <c r="N129" s="28">
        <v>1</v>
      </c>
      <c r="O129" s="29" t="str">
        <f>IF(Table_2021_CIP[[#This Row],[Column2]]&lt;10,"A",IF(Table_2021_CIP[[#This Row],[Column2]]&gt;19,"C","B"))</f>
        <v>A</v>
      </c>
      <c r="P129" t="s">
        <v>398</v>
      </c>
      <c r="Q129" s="30">
        <v>50000</v>
      </c>
      <c r="R129" s="30">
        <v>71560</v>
      </c>
      <c r="S129" s="30">
        <v>71560</v>
      </c>
      <c r="T129" s="30">
        <v>71560</v>
      </c>
      <c r="U129" s="30">
        <v>71560</v>
      </c>
      <c r="V129" s="30">
        <v>71560</v>
      </c>
      <c r="W129" s="30">
        <v>71560</v>
      </c>
      <c r="X129" s="30">
        <v>71560</v>
      </c>
      <c r="Y129" s="30">
        <v>71560</v>
      </c>
      <c r="Z129" s="30">
        <v>71560</v>
      </c>
      <c r="AA129" s="30">
        <v>71560</v>
      </c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>
        <f>Table_2021_CIP[[#This Row],[TotalYR1]]+S129</f>
        <v>143120</v>
      </c>
      <c r="AR129" s="30">
        <f>SUM(Table_2021_CIP[[#This Row],[TotalYR1]:[32-33]])</f>
        <v>715600</v>
      </c>
      <c r="AS129" s="30">
        <f>SUM(Table_2021_CIP[[#This Row],[TotalYR1]:[47-48]])</f>
        <v>715600</v>
      </c>
      <c r="AT129" s="24">
        <f>SUM(Table_2021_CIP[[#This Row],[22-23]:[47-48]])</f>
        <v>765600</v>
      </c>
    </row>
    <row r="130" spans="1:46" ht="12.75" customHeight="1" x14ac:dyDescent="0.25">
      <c r="A130" s="25">
        <f t="shared" si="3"/>
        <v>122</v>
      </c>
      <c r="B130" t="s">
        <v>399</v>
      </c>
      <c r="C130" t="b">
        <v>0</v>
      </c>
      <c r="D130">
        <v>220</v>
      </c>
      <c r="E130">
        <v>220</v>
      </c>
      <c r="F130" t="b">
        <v>0</v>
      </c>
      <c r="G130" t="s">
        <v>82</v>
      </c>
      <c r="H130" t="s">
        <v>400</v>
      </c>
      <c r="I130" s="26" t="s">
        <v>401</v>
      </c>
      <c r="K130" t="s">
        <v>73</v>
      </c>
      <c r="L130" t="s">
        <v>85</v>
      </c>
      <c r="M130" s="27">
        <v>0</v>
      </c>
      <c r="N130" s="28">
        <v>1</v>
      </c>
      <c r="O130" s="29" t="str">
        <f>IF(Table_2021_CIP[[#This Row],[Column2]]&lt;10,"A",IF(Table_2021_CIP[[#This Row],[Column2]]&gt;19,"C","B"))</f>
        <v>A</v>
      </c>
      <c r="P130" t="s">
        <v>402</v>
      </c>
      <c r="Q130" s="30">
        <v>60000</v>
      </c>
      <c r="R130" s="30">
        <v>60000</v>
      </c>
      <c r="S130" s="30">
        <v>60000</v>
      </c>
      <c r="T130" s="30">
        <v>60000</v>
      </c>
      <c r="U130" s="30">
        <v>60000</v>
      </c>
      <c r="V130" s="30">
        <v>60000</v>
      </c>
      <c r="W130" s="30">
        <v>60000</v>
      </c>
      <c r="X130" s="30">
        <v>60000</v>
      </c>
      <c r="Y130" s="30">
        <v>60000</v>
      </c>
      <c r="Z130" s="30">
        <v>60000</v>
      </c>
      <c r="AA130" s="30">
        <v>60000</v>
      </c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>
        <f>Table_2021_CIP[[#This Row],[TotalYR1]]+S130</f>
        <v>120000</v>
      </c>
      <c r="AR130" s="30">
        <f>SUM(Table_2021_CIP[[#This Row],[TotalYR1]:[32-33]])</f>
        <v>600000</v>
      </c>
      <c r="AS130" s="30">
        <f>SUM(Table_2021_CIP[[#This Row],[TotalYR1]:[47-48]])</f>
        <v>600000</v>
      </c>
      <c r="AT130" s="24">
        <f>SUM(Table_2021_CIP[[#This Row],[22-23]:[47-48]])</f>
        <v>660000</v>
      </c>
    </row>
    <row r="131" spans="1:46" ht="12.75" customHeight="1" x14ac:dyDescent="0.25">
      <c r="A131" s="25">
        <f t="shared" si="3"/>
        <v>123</v>
      </c>
      <c r="B131" t="s">
        <v>81</v>
      </c>
      <c r="C131" t="b">
        <v>0</v>
      </c>
      <c r="D131">
        <v>232</v>
      </c>
      <c r="E131">
        <v>232</v>
      </c>
      <c r="F131" t="b">
        <v>0</v>
      </c>
      <c r="G131" t="s">
        <v>93</v>
      </c>
      <c r="H131" t="s">
        <v>403</v>
      </c>
      <c r="I131" s="26" t="s">
        <v>404</v>
      </c>
      <c r="K131" t="s">
        <v>73</v>
      </c>
      <c r="L131" t="s">
        <v>85</v>
      </c>
      <c r="M131" s="27">
        <v>0</v>
      </c>
      <c r="N131" s="28">
        <v>9</v>
      </c>
      <c r="O131" s="29" t="str">
        <f>IF(Table_2021_CIP[[#This Row],[Column2]]&lt;10,"A",IF(Table_2021_CIP[[#This Row],[Column2]]&gt;19,"C","B"))</f>
        <v>A</v>
      </c>
      <c r="P131" t="s">
        <v>405</v>
      </c>
      <c r="Q131" s="30">
        <v>53000</v>
      </c>
      <c r="R131" s="30">
        <v>200000</v>
      </c>
      <c r="S131" s="30">
        <v>200000</v>
      </c>
      <c r="T131" s="30">
        <v>200000</v>
      </c>
      <c r="U131" s="30">
        <v>200000</v>
      </c>
      <c r="V131" s="30">
        <v>50000</v>
      </c>
      <c r="W131" s="30">
        <v>20000</v>
      </c>
      <c r="X131" s="30">
        <v>15000</v>
      </c>
      <c r="Y131" s="30"/>
      <c r="Z131" s="30"/>
      <c r="AA131" s="30"/>
      <c r="AB131" s="30">
        <v>200000</v>
      </c>
      <c r="AC131" s="30">
        <v>200000</v>
      </c>
      <c r="AD131" s="30">
        <v>200000</v>
      </c>
      <c r="AE131" s="30">
        <v>200000</v>
      </c>
      <c r="AF131" s="30"/>
      <c r="AG131" s="30">
        <v>20000</v>
      </c>
      <c r="AH131" s="30">
        <v>15000</v>
      </c>
      <c r="AI131" s="30"/>
      <c r="AJ131" s="30"/>
      <c r="AK131" s="30"/>
      <c r="AL131" s="30"/>
      <c r="AM131" s="30"/>
      <c r="AN131" s="30"/>
      <c r="AO131" s="30"/>
      <c r="AP131" s="30"/>
      <c r="AQ131" s="30">
        <f>Table_2021_CIP[[#This Row],[TotalYR1]]+S131</f>
        <v>400000</v>
      </c>
      <c r="AR131" s="30">
        <f>SUM(Table_2021_CIP[[#This Row],[TotalYR1]:[32-33]])</f>
        <v>885000</v>
      </c>
      <c r="AS131" s="30">
        <f>SUM(Table_2021_CIP[[#This Row],[TotalYR1]:[47-48]])</f>
        <v>1720000</v>
      </c>
      <c r="AT131" s="24">
        <f>SUM(Table_2021_CIP[[#This Row],[22-23]:[47-48]])</f>
        <v>1773000</v>
      </c>
    </row>
    <row r="132" spans="1:46" ht="12.75" customHeight="1" x14ac:dyDescent="0.25">
      <c r="A132" s="17">
        <f t="shared" si="3"/>
        <v>124</v>
      </c>
      <c r="B132" s="18" t="s">
        <v>101</v>
      </c>
      <c r="C132" s="18" t="b">
        <v>1</v>
      </c>
      <c r="D132" s="18">
        <v>240</v>
      </c>
      <c r="E132" s="18">
        <v>240</v>
      </c>
      <c r="F132" s="18" t="b">
        <v>0</v>
      </c>
      <c r="G132" s="18" t="s">
        <v>165</v>
      </c>
      <c r="H132" s="18" t="s">
        <v>406</v>
      </c>
      <c r="I132" s="19" t="s">
        <v>407</v>
      </c>
      <c r="J132" s="34"/>
      <c r="K132" s="18" t="s">
        <v>73</v>
      </c>
      <c r="L132" s="18" t="s">
        <v>74</v>
      </c>
      <c r="M132" s="20">
        <v>5.0000000745058101E-2</v>
      </c>
      <c r="N132" s="21">
        <v>6</v>
      </c>
      <c r="O132" s="22" t="str">
        <f>IF(Table_2021_CIP[[#This Row],[Column2]]&lt;10,"A",IF(Table_2021_CIP[[#This Row],[Column2]]&gt;19,"C","B"))</f>
        <v>A</v>
      </c>
      <c r="P132" s="18" t="s">
        <v>408</v>
      </c>
      <c r="Q132" s="23"/>
      <c r="R132" s="23">
        <v>0</v>
      </c>
      <c r="S132" s="23">
        <v>789840</v>
      </c>
      <c r="T132" s="23"/>
      <c r="U132" s="23"/>
      <c r="V132" s="23"/>
      <c r="W132" s="23"/>
      <c r="X132" s="23"/>
      <c r="Y132" s="23"/>
      <c r="Z132" s="23"/>
      <c r="AA132" s="23"/>
      <c r="AB132" s="23">
        <v>600000</v>
      </c>
      <c r="AC132" s="23">
        <v>600000</v>
      </c>
      <c r="AD132" s="23"/>
      <c r="AE132" s="23"/>
      <c r="AF132" s="23"/>
      <c r="AG132" s="23"/>
      <c r="AH132" s="23"/>
      <c r="AI132" s="23"/>
      <c r="AJ132" s="23"/>
      <c r="AK132" s="23"/>
      <c r="AL132" s="23">
        <v>1200000</v>
      </c>
      <c r="AM132" s="23">
        <v>1200000</v>
      </c>
      <c r="AN132" s="23"/>
      <c r="AO132" s="23"/>
      <c r="AP132" s="23"/>
      <c r="AQ132" s="23">
        <f>Table_2021_CIP[[#This Row],[TotalYR1]]+S132</f>
        <v>789840</v>
      </c>
      <c r="AR132" s="23">
        <f>SUM(Table_2021_CIP[[#This Row],[TotalYR1]:[32-33]])</f>
        <v>789840</v>
      </c>
      <c r="AS132" s="23">
        <f>SUM(Table_2021_CIP[[#This Row],[TotalYR1]:[47-48]])</f>
        <v>4389840</v>
      </c>
      <c r="AT132" s="24">
        <f>SUM(Table_2021_CIP[[#This Row],[22-23]:[47-48]])</f>
        <v>4389840</v>
      </c>
    </row>
    <row r="133" spans="1:46" ht="12.75" customHeight="1" x14ac:dyDescent="0.25">
      <c r="A133" s="25">
        <f t="shared" si="3"/>
        <v>125</v>
      </c>
      <c r="B133" t="s">
        <v>81</v>
      </c>
      <c r="C133" t="b">
        <v>0</v>
      </c>
      <c r="D133">
        <v>240</v>
      </c>
      <c r="E133">
        <v>240</v>
      </c>
      <c r="F133" t="b">
        <v>0</v>
      </c>
      <c r="G133" t="s">
        <v>165</v>
      </c>
      <c r="H133" t="s">
        <v>409</v>
      </c>
      <c r="I133" s="26" t="s">
        <v>410</v>
      </c>
      <c r="K133" t="s">
        <v>73</v>
      </c>
      <c r="L133" t="s">
        <v>85</v>
      </c>
      <c r="M133" s="27">
        <v>5.0000000745058101E-2</v>
      </c>
      <c r="N133" s="28">
        <v>1</v>
      </c>
      <c r="O133" s="29" t="str">
        <f>IF(Table_2021_CIP[[#This Row],[Column2]]&lt;10,"A",IF(Table_2021_CIP[[#This Row],[Column2]]&gt;19,"C","B"))</f>
        <v>A</v>
      </c>
      <c r="P133" t="s">
        <v>411</v>
      </c>
      <c r="Q133" s="30"/>
      <c r="R133" s="30">
        <v>0</v>
      </c>
      <c r="S133" s="30">
        <v>149680</v>
      </c>
      <c r="T133" s="30">
        <v>1350000</v>
      </c>
      <c r="U133" s="30"/>
      <c r="V133" s="30"/>
      <c r="W133" s="30"/>
      <c r="X133" s="30"/>
      <c r="Y133" s="30">
        <v>1350000</v>
      </c>
      <c r="Z133" s="30"/>
      <c r="AA133" s="30"/>
      <c r="AB133" s="30"/>
      <c r="AC133" s="30">
        <v>149680</v>
      </c>
      <c r="AD133" s="30">
        <v>1350000</v>
      </c>
      <c r="AE133" s="30"/>
      <c r="AF133" s="30"/>
      <c r="AG133" s="30"/>
      <c r="AH133" s="30"/>
      <c r="AI133" s="30">
        <v>1350000</v>
      </c>
      <c r="AJ133" s="30"/>
      <c r="AK133" s="30"/>
      <c r="AL133" s="30"/>
      <c r="AM133" s="30">
        <v>149680</v>
      </c>
      <c r="AN133" s="30">
        <v>1350000</v>
      </c>
      <c r="AO133" s="30"/>
      <c r="AP133" s="30"/>
      <c r="AQ133" s="30">
        <f>Table_2021_CIP[[#This Row],[TotalYR1]]+S133</f>
        <v>149680</v>
      </c>
      <c r="AR133" s="30">
        <f>SUM(Table_2021_CIP[[#This Row],[TotalYR1]:[32-33]])</f>
        <v>2849680</v>
      </c>
      <c r="AS133" s="30">
        <f>SUM(Table_2021_CIP[[#This Row],[TotalYR1]:[47-48]])</f>
        <v>7199040</v>
      </c>
      <c r="AT133" s="24">
        <f>SUM(Table_2021_CIP[[#This Row],[22-23]:[47-48]])</f>
        <v>7199040</v>
      </c>
    </row>
    <row r="134" spans="1:46" ht="12.75" customHeight="1" x14ac:dyDescent="0.25">
      <c r="A134" s="17">
        <f t="shared" si="3"/>
        <v>126</v>
      </c>
      <c r="B134" s="18" t="s">
        <v>70</v>
      </c>
      <c r="C134" s="18" t="b">
        <v>1</v>
      </c>
      <c r="D134" s="18">
        <v>240</v>
      </c>
      <c r="E134" s="18">
        <v>240</v>
      </c>
      <c r="F134" s="18" t="b">
        <v>1</v>
      </c>
      <c r="G134" s="18" t="s">
        <v>165</v>
      </c>
      <c r="H134" s="18" t="s">
        <v>412</v>
      </c>
      <c r="I134" s="19" t="s">
        <v>413</v>
      </c>
      <c r="J134" s="34"/>
      <c r="K134" s="18" t="s">
        <v>73</v>
      </c>
      <c r="L134" s="18" t="s">
        <v>74</v>
      </c>
      <c r="M134" s="20">
        <v>0</v>
      </c>
      <c r="N134" s="21">
        <v>15</v>
      </c>
      <c r="O134" s="22" t="str">
        <f>IF(Table_2021_CIP[[#This Row],[Column2]]&lt;10,"A",IF(Table_2021_CIP[[#This Row],[Column2]]&gt;19,"C","B"))</f>
        <v>B</v>
      </c>
      <c r="P134" s="18" t="s">
        <v>414</v>
      </c>
      <c r="Q134" s="23"/>
      <c r="R134" s="23">
        <v>316240</v>
      </c>
      <c r="S134" s="23">
        <v>567480</v>
      </c>
      <c r="T134" s="23">
        <v>100000</v>
      </c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>
        <f>Table_2021_CIP[[#This Row],[TotalYR1]]+S134</f>
        <v>883720</v>
      </c>
      <c r="AR134" s="23">
        <f>SUM(Table_2021_CIP[[#This Row],[TotalYR1]:[32-33]])</f>
        <v>983720</v>
      </c>
      <c r="AS134" s="23">
        <f>SUM(Table_2021_CIP[[#This Row],[TotalYR1]:[47-48]])</f>
        <v>983720</v>
      </c>
      <c r="AT134" s="24">
        <f>SUM(Table_2021_CIP[[#This Row],[22-23]:[47-48]])</f>
        <v>983720</v>
      </c>
    </row>
    <row r="135" spans="1:46" ht="12.75" customHeight="1" x14ac:dyDescent="0.25">
      <c r="A135" s="25">
        <f t="shared" si="3"/>
        <v>127</v>
      </c>
      <c r="B135" t="s">
        <v>399</v>
      </c>
      <c r="C135" t="b">
        <v>0</v>
      </c>
      <c r="D135">
        <v>250</v>
      </c>
      <c r="E135">
        <v>250</v>
      </c>
      <c r="F135" t="b">
        <v>0</v>
      </c>
      <c r="G135" t="s">
        <v>82</v>
      </c>
      <c r="H135" t="s">
        <v>415</v>
      </c>
      <c r="I135" s="26" t="s">
        <v>416</v>
      </c>
      <c r="K135" t="s">
        <v>73</v>
      </c>
      <c r="L135" t="s">
        <v>85</v>
      </c>
      <c r="M135" s="27">
        <v>0</v>
      </c>
      <c r="N135" s="28">
        <v>19</v>
      </c>
      <c r="O135" s="29" t="str">
        <f>IF(Table_2021_CIP[[#This Row],[Column2]]&lt;10,"A",IF(Table_2021_CIP[[#This Row],[Column2]]&gt;19,"C","B"))</f>
        <v>B</v>
      </c>
      <c r="P135" t="s">
        <v>417</v>
      </c>
      <c r="Q135" s="30"/>
      <c r="R135" s="30">
        <v>10000</v>
      </c>
      <c r="S135" s="30">
        <v>10000</v>
      </c>
      <c r="T135" s="30">
        <v>10000</v>
      </c>
      <c r="U135" s="30">
        <v>10000</v>
      </c>
      <c r="V135" s="30">
        <v>10000</v>
      </c>
      <c r="W135" s="30">
        <v>10000</v>
      </c>
      <c r="X135" s="30">
        <v>10000</v>
      </c>
      <c r="Y135" s="30">
        <v>10000</v>
      </c>
      <c r="Z135" s="30">
        <v>10000</v>
      </c>
      <c r="AA135" s="30">
        <v>10000</v>
      </c>
      <c r="AB135" s="30">
        <v>10000</v>
      </c>
      <c r="AC135" s="30">
        <v>10000</v>
      </c>
      <c r="AD135" s="30">
        <v>10000</v>
      </c>
      <c r="AE135" s="30">
        <v>10000</v>
      </c>
      <c r="AF135" s="30">
        <v>10000</v>
      </c>
      <c r="AG135" s="30">
        <v>10000</v>
      </c>
      <c r="AH135" s="30">
        <v>10000</v>
      </c>
      <c r="AI135" s="30">
        <v>10000</v>
      </c>
      <c r="AJ135" s="30">
        <v>10000</v>
      </c>
      <c r="AK135" s="30">
        <v>10000</v>
      </c>
      <c r="AL135" s="30">
        <v>10000</v>
      </c>
      <c r="AM135" s="30">
        <v>10000</v>
      </c>
      <c r="AN135" s="30">
        <v>10000</v>
      </c>
      <c r="AO135" s="30">
        <v>10000</v>
      </c>
      <c r="AP135" s="30">
        <v>10000</v>
      </c>
      <c r="AQ135" s="30">
        <f>Table_2021_CIP[[#This Row],[TotalYR1]]+S135</f>
        <v>20000</v>
      </c>
      <c r="AR135" s="30">
        <f>SUM(Table_2021_CIP[[#This Row],[TotalYR1]:[32-33]])</f>
        <v>100000</v>
      </c>
      <c r="AS135" s="30">
        <f>SUM(Table_2021_CIP[[#This Row],[TotalYR1]:[47-48]])</f>
        <v>250000</v>
      </c>
      <c r="AT135" s="24">
        <f>SUM(Table_2021_CIP[[#This Row],[22-23]:[47-48]])</f>
        <v>250000</v>
      </c>
    </row>
    <row r="136" spans="1:46" ht="12.75" customHeight="1" x14ac:dyDescent="0.25">
      <c r="A136" s="25">
        <f t="shared" si="3"/>
        <v>128</v>
      </c>
      <c r="B136" t="s">
        <v>180</v>
      </c>
      <c r="C136" t="b">
        <v>0</v>
      </c>
      <c r="D136">
        <v>250</v>
      </c>
      <c r="E136">
        <v>130</v>
      </c>
      <c r="F136" t="b">
        <v>0</v>
      </c>
      <c r="G136" t="s">
        <v>82</v>
      </c>
      <c r="H136" t="s">
        <v>418</v>
      </c>
      <c r="I136" s="26" t="s">
        <v>419</v>
      </c>
      <c r="K136" t="s">
        <v>73</v>
      </c>
      <c r="L136" t="s">
        <v>85</v>
      </c>
      <c r="M136" s="27">
        <v>0</v>
      </c>
      <c r="N136" s="28">
        <v>10</v>
      </c>
      <c r="O136" s="29" t="str">
        <f>IF(Table_2021_CIP[[#This Row],[Column2]]&lt;10,"A",IF(Table_2021_CIP[[#This Row],[Column2]]&gt;19,"C","B"))</f>
        <v>B</v>
      </c>
      <c r="P136" t="s">
        <v>420</v>
      </c>
      <c r="Q136" s="30">
        <v>0</v>
      </c>
      <c r="R136" s="30">
        <v>260000</v>
      </c>
      <c r="S136" s="30">
        <v>125000</v>
      </c>
      <c r="T136" s="30">
        <v>0</v>
      </c>
      <c r="U136" s="30">
        <v>0</v>
      </c>
      <c r="V136" s="30">
        <v>0</v>
      </c>
      <c r="W136" s="30"/>
      <c r="X136" s="30">
        <v>7000000</v>
      </c>
      <c r="Y136" s="30"/>
      <c r="Z136" s="30"/>
      <c r="AA136" s="30">
        <v>0</v>
      </c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>
        <f>Table_2021_CIP[[#This Row],[TotalYR1]]+S136</f>
        <v>385000</v>
      </c>
      <c r="AR136" s="30">
        <f>SUM(Table_2021_CIP[[#This Row],[TotalYR1]:[32-33]])</f>
        <v>7385000</v>
      </c>
      <c r="AS136" s="30">
        <f>SUM(Table_2021_CIP[[#This Row],[TotalYR1]:[47-48]])</f>
        <v>7385000</v>
      </c>
      <c r="AT136" s="24">
        <f>SUM(Table_2021_CIP[[#This Row],[22-23]:[47-48]])</f>
        <v>7385000</v>
      </c>
    </row>
    <row r="137" spans="1:46" ht="12.75" customHeight="1" x14ac:dyDescent="0.25">
      <c r="A137" s="25">
        <f t="shared" si="3"/>
        <v>129</v>
      </c>
      <c r="B137" t="s">
        <v>180</v>
      </c>
      <c r="C137" t="b">
        <v>0</v>
      </c>
      <c r="D137">
        <v>250</v>
      </c>
      <c r="E137">
        <v>250</v>
      </c>
      <c r="F137" t="b">
        <v>0</v>
      </c>
      <c r="G137" t="s">
        <v>82</v>
      </c>
      <c r="H137" t="s">
        <v>421</v>
      </c>
      <c r="I137" s="26" t="s">
        <v>422</v>
      </c>
      <c r="K137" t="s">
        <v>73</v>
      </c>
      <c r="L137" t="s">
        <v>85</v>
      </c>
      <c r="M137" s="27">
        <v>0</v>
      </c>
      <c r="N137" s="28">
        <v>19</v>
      </c>
      <c r="O137" s="29" t="str">
        <f>IF(Table_2021_CIP[[#This Row],[Column2]]&lt;10,"A",IF(Table_2021_CIP[[#This Row],[Column2]]&gt;19,"C","B"))</f>
        <v>B</v>
      </c>
      <c r="P137" t="s">
        <v>423</v>
      </c>
      <c r="Q137" s="30">
        <v>325000</v>
      </c>
      <c r="R137" s="30">
        <v>161000</v>
      </c>
      <c r="S137" s="30">
        <v>161000</v>
      </c>
      <c r="T137" s="30">
        <v>161000</v>
      </c>
      <c r="U137" s="30">
        <v>161000</v>
      </c>
      <c r="V137" s="30">
        <v>161000</v>
      </c>
      <c r="W137" s="30">
        <v>165000</v>
      </c>
      <c r="X137" s="30">
        <v>165000</v>
      </c>
      <c r="Y137" s="30">
        <v>175000</v>
      </c>
      <c r="Z137" s="30">
        <v>175000</v>
      </c>
      <c r="AA137" s="30">
        <v>175000</v>
      </c>
      <c r="AB137" s="30">
        <v>175000</v>
      </c>
      <c r="AC137" s="30">
        <v>175000</v>
      </c>
      <c r="AD137" s="30">
        <v>175000</v>
      </c>
      <c r="AE137" s="30">
        <v>175000</v>
      </c>
      <c r="AF137" s="30">
        <v>175000</v>
      </c>
      <c r="AG137" s="30">
        <v>175000</v>
      </c>
      <c r="AH137" s="30">
        <v>175000</v>
      </c>
      <c r="AI137" s="30">
        <v>175000</v>
      </c>
      <c r="AJ137" s="30">
        <v>175000</v>
      </c>
      <c r="AK137" s="30">
        <v>175000</v>
      </c>
      <c r="AL137" s="30">
        <v>175000</v>
      </c>
      <c r="AM137" s="30">
        <v>175000</v>
      </c>
      <c r="AN137" s="30">
        <v>175000</v>
      </c>
      <c r="AO137" s="30">
        <v>175000</v>
      </c>
      <c r="AP137" s="30">
        <v>175000</v>
      </c>
      <c r="AQ137" s="30">
        <f>Table_2021_CIP[[#This Row],[TotalYR1]]+S137</f>
        <v>322000</v>
      </c>
      <c r="AR137" s="30">
        <f>SUM(Table_2021_CIP[[#This Row],[TotalYR1]:[32-33]])</f>
        <v>1660000</v>
      </c>
      <c r="AS137" s="30">
        <f>SUM(Table_2021_CIP[[#This Row],[TotalYR1]:[47-48]])</f>
        <v>4285000</v>
      </c>
      <c r="AT137" s="24">
        <f>SUM(Table_2021_CIP[[#This Row],[22-23]:[47-48]])</f>
        <v>4610000</v>
      </c>
    </row>
    <row r="138" spans="1:46" ht="12.75" customHeight="1" x14ac:dyDescent="0.25">
      <c r="A138" s="25">
        <f t="shared" si="3"/>
        <v>130</v>
      </c>
      <c r="B138" t="s">
        <v>180</v>
      </c>
      <c r="C138" t="b">
        <v>0</v>
      </c>
      <c r="D138">
        <v>250</v>
      </c>
      <c r="E138">
        <v>250</v>
      </c>
      <c r="F138" t="b">
        <v>0</v>
      </c>
      <c r="G138" t="s">
        <v>82</v>
      </c>
      <c r="H138" t="s">
        <v>424</v>
      </c>
      <c r="I138" s="26" t="s">
        <v>425</v>
      </c>
      <c r="K138" t="s">
        <v>73</v>
      </c>
      <c r="L138" t="s">
        <v>85</v>
      </c>
      <c r="M138" s="27">
        <v>0</v>
      </c>
      <c r="N138" s="28">
        <v>19</v>
      </c>
      <c r="O138" s="29" t="str">
        <f>IF(Table_2021_CIP[[#This Row],[Column2]]&lt;10,"A",IF(Table_2021_CIP[[#This Row],[Column2]]&gt;19,"C","B"))</f>
        <v>B</v>
      </c>
      <c r="P138" t="s">
        <v>426</v>
      </c>
      <c r="Q138" s="30"/>
      <c r="R138" s="30">
        <v>0</v>
      </c>
      <c r="S138" s="30">
        <v>0</v>
      </c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>
        <v>3500000</v>
      </c>
      <c r="AL138" s="30"/>
      <c r="AM138" s="30"/>
      <c r="AN138" s="30"/>
      <c r="AO138" s="30"/>
      <c r="AP138" s="30"/>
      <c r="AQ138" s="30">
        <f>Table_2021_CIP[[#This Row],[TotalYR1]]+S138</f>
        <v>0</v>
      </c>
      <c r="AR138" s="30">
        <f>SUM(Table_2021_CIP[[#This Row],[TotalYR1]:[32-33]])</f>
        <v>0</v>
      </c>
      <c r="AS138" s="30">
        <f>SUM(Table_2021_CIP[[#This Row],[TotalYR1]:[47-48]])</f>
        <v>3500000</v>
      </c>
      <c r="AT138" s="24">
        <f>SUM(Table_2021_CIP[[#This Row],[22-23]:[47-48]])</f>
        <v>3500000</v>
      </c>
    </row>
    <row r="139" spans="1:46" ht="12.75" customHeight="1" x14ac:dyDescent="0.25">
      <c r="A139" s="25">
        <f t="shared" si="3"/>
        <v>131</v>
      </c>
      <c r="B139" t="s">
        <v>101</v>
      </c>
      <c r="C139" t="b">
        <v>0</v>
      </c>
      <c r="D139">
        <v>251</v>
      </c>
      <c r="E139">
        <v>251</v>
      </c>
      <c r="F139" t="b">
        <v>0</v>
      </c>
      <c r="G139" t="s">
        <v>82</v>
      </c>
      <c r="H139" t="s">
        <v>427</v>
      </c>
      <c r="I139" s="26" t="s">
        <v>428</v>
      </c>
      <c r="K139" t="s">
        <v>73</v>
      </c>
      <c r="L139" t="s">
        <v>85</v>
      </c>
      <c r="M139" s="27">
        <v>0</v>
      </c>
      <c r="N139" s="28">
        <v>6</v>
      </c>
      <c r="O139" s="29" t="str">
        <f>IF(Table_2021_CIP[[#This Row],[Column2]]&lt;10,"A",IF(Table_2021_CIP[[#This Row],[Column2]]&gt;19,"C","B"))</f>
        <v>A</v>
      </c>
      <c r="P139" t="s">
        <v>429</v>
      </c>
      <c r="Q139" s="30">
        <v>10000</v>
      </c>
      <c r="R139" s="30">
        <v>20000</v>
      </c>
      <c r="S139" s="30">
        <v>15000</v>
      </c>
      <c r="T139" s="30">
        <v>15000</v>
      </c>
      <c r="U139" s="30">
        <v>15000</v>
      </c>
      <c r="V139" s="30">
        <v>15000</v>
      </c>
      <c r="W139" s="30">
        <v>15000</v>
      </c>
      <c r="X139" s="30">
        <v>15000</v>
      </c>
      <c r="Y139" s="30">
        <v>15000</v>
      </c>
      <c r="Z139" s="30">
        <v>15000</v>
      </c>
      <c r="AA139" s="30">
        <v>15000</v>
      </c>
      <c r="AB139" s="30">
        <v>15000</v>
      </c>
      <c r="AC139" s="30">
        <v>15000</v>
      </c>
      <c r="AD139" s="30">
        <v>15000</v>
      </c>
      <c r="AE139" s="30">
        <v>15000</v>
      </c>
      <c r="AF139" s="30">
        <v>15000</v>
      </c>
      <c r="AG139" s="30">
        <v>15000</v>
      </c>
      <c r="AH139" s="30">
        <v>15000</v>
      </c>
      <c r="AI139" s="30">
        <v>15000</v>
      </c>
      <c r="AJ139" s="30">
        <v>15000</v>
      </c>
      <c r="AK139" s="30">
        <v>15000</v>
      </c>
      <c r="AL139" s="30">
        <v>15000</v>
      </c>
      <c r="AM139" s="30">
        <v>15000</v>
      </c>
      <c r="AN139" s="30">
        <v>15000</v>
      </c>
      <c r="AO139" s="30">
        <v>15000</v>
      </c>
      <c r="AP139" s="30">
        <v>15000</v>
      </c>
      <c r="AQ139" s="30">
        <f>Table_2021_CIP[[#This Row],[TotalYR1]]+S139</f>
        <v>35000</v>
      </c>
      <c r="AR139" s="30">
        <f>SUM(Table_2021_CIP[[#This Row],[TotalYR1]:[32-33]])</f>
        <v>155000</v>
      </c>
      <c r="AS139" s="30">
        <f>SUM(Table_2021_CIP[[#This Row],[TotalYR1]:[47-48]])</f>
        <v>380000</v>
      </c>
      <c r="AT139" s="24">
        <f>SUM(Table_2021_CIP[[#This Row],[22-23]:[47-48]])</f>
        <v>390000</v>
      </c>
    </row>
    <row r="140" spans="1:46" ht="12.75" customHeight="1" x14ac:dyDescent="0.25">
      <c r="A140" s="25">
        <f t="shared" ref="A140:A203" si="4">A139+1</f>
        <v>132</v>
      </c>
      <c r="B140" t="s">
        <v>81</v>
      </c>
      <c r="C140" t="b">
        <v>0</v>
      </c>
      <c r="D140">
        <v>253</v>
      </c>
      <c r="E140">
        <v>253</v>
      </c>
      <c r="F140" t="b">
        <v>0</v>
      </c>
      <c r="G140" t="s">
        <v>165</v>
      </c>
      <c r="H140" t="s">
        <v>430</v>
      </c>
      <c r="I140" s="26" t="s">
        <v>431</v>
      </c>
      <c r="K140" t="s">
        <v>73</v>
      </c>
      <c r="L140" t="s">
        <v>85</v>
      </c>
      <c r="M140" s="27">
        <v>0</v>
      </c>
      <c r="N140" s="28">
        <v>6</v>
      </c>
      <c r="O140" s="29" t="str">
        <f>IF(Table_2021_CIP[[#This Row],[Column2]]&lt;10,"A",IF(Table_2021_CIP[[#This Row],[Column2]]&gt;19,"C","B"))</f>
        <v>A</v>
      </c>
      <c r="P140" t="s">
        <v>432</v>
      </c>
      <c r="Q140" s="30">
        <v>190000</v>
      </c>
      <c r="R140" s="30">
        <v>59800</v>
      </c>
      <c r="S140" s="30">
        <v>62800</v>
      </c>
      <c r="T140" s="30">
        <v>59800</v>
      </c>
      <c r="U140" s="30">
        <v>59800</v>
      </c>
      <c r="V140" s="30">
        <v>59800</v>
      </c>
      <c r="W140" s="30">
        <v>59800</v>
      </c>
      <c r="X140" s="30">
        <v>59800</v>
      </c>
      <c r="Y140" s="30">
        <v>59800</v>
      </c>
      <c r="Z140" s="30">
        <v>59800</v>
      </c>
      <c r="AA140" s="30">
        <v>59800</v>
      </c>
      <c r="AB140" s="30">
        <v>59800</v>
      </c>
      <c r="AC140" s="30">
        <v>59800</v>
      </c>
      <c r="AD140" s="30">
        <v>59800</v>
      </c>
      <c r="AE140" s="30">
        <v>59800</v>
      </c>
      <c r="AF140" s="30">
        <v>59800</v>
      </c>
      <c r="AG140" s="30">
        <v>59800</v>
      </c>
      <c r="AH140" s="30">
        <v>59800</v>
      </c>
      <c r="AI140" s="30">
        <v>59800</v>
      </c>
      <c r="AJ140" s="30">
        <v>59800</v>
      </c>
      <c r="AK140" s="30">
        <v>59800</v>
      </c>
      <c r="AL140" s="30">
        <v>59800</v>
      </c>
      <c r="AM140" s="30">
        <v>59800</v>
      </c>
      <c r="AN140" s="30">
        <v>59800</v>
      </c>
      <c r="AO140" s="30">
        <v>59800</v>
      </c>
      <c r="AP140" s="30">
        <v>59800</v>
      </c>
      <c r="AQ140" s="30">
        <f>Table_2021_CIP[[#This Row],[TotalYR1]]+S140</f>
        <v>122600</v>
      </c>
      <c r="AR140" s="30">
        <f>SUM(Table_2021_CIP[[#This Row],[TotalYR1]:[32-33]])</f>
        <v>601000</v>
      </c>
      <c r="AS140" s="30">
        <f>SUM(Table_2021_CIP[[#This Row],[TotalYR1]:[47-48]])</f>
        <v>1498000</v>
      </c>
      <c r="AT140" s="24">
        <f>SUM(Table_2021_CIP[[#This Row],[22-23]:[47-48]])</f>
        <v>1688000</v>
      </c>
    </row>
    <row r="141" spans="1:46" ht="12.75" customHeight="1" x14ac:dyDescent="0.25">
      <c r="A141" s="25">
        <f t="shared" si="4"/>
        <v>133</v>
      </c>
      <c r="B141" t="s">
        <v>81</v>
      </c>
      <c r="C141" t="b">
        <v>0</v>
      </c>
      <c r="D141">
        <v>253</v>
      </c>
      <c r="E141">
        <v>253</v>
      </c>
      <c r="F141" t="b">
        <v>0</v>
      </c>
      <c r="G141" t="s">
        <v>165</v>
      </c>
      <c r="H141" t="s">
        <v>433</v>
      </c>
      <c r="I141" s="26" t="s">
        <v>434</v>
      </c>
      <c r="K141" t="s">
        <v>73</v>
      </c>
      <c r="L141" t="s">
        <v>85</v>
      </c>
      <c r="M141" s="27">
        <v>0</v>
      </c>
      <c r="N141" s="28">
        <v>6</v>
      </c>
      <c r="O141" s="29" t="str">
        <f>IF(Table_2021_CIP[[#This Row],[Column2]]&lt;10,"A",IF(Table_2021_CIP[[#This Row],[Column2]]&gt;19,"C","B"))</f>
        <v>A</v>
      </c>
      <c r="P141" t="s">
        <v>435</v>
      </c>
      <c r="Q141" s="30">
        <v>114400</v>
      </c>
      <c r="R141" s="30">
        <v>216000</v>
      </c>
      <c r="S141" s="30">
        <v>60500</v>
      </c>
      <c r="T141" s="30">
        <v>57600</v>
      </c>
      <c r="U141" s="30">
        <v>57600</v>
      </c>
      <c r="V141" s="30">
        <v>57600</v>
      </c>
      <c r="W141" s="30">
        <v>57600</v>
      </c>
      <c r="X141" s="30">
        <v>57600</v>
      </c>
      <c r="Y141" s="30">
        <v>57600</v>
      </c>
      <c r="Z141" s="30">
        <v>57600</v>
      </c>
      <c r="AA141" s="30">
        <v>57600</v>
      </c>
      <c r="AB141" s="30">
        <v>57600</v>
      </c>
      <c r="AC141" s="30">
        <v>57600</v>
      </c>
      <c r="AD141" s="30">
        <v>57600</v>
      </c>
      <c r="AE141" s="30">
        <v>57600</v>
      </c>
      <c r="AF141" s="30">
        <v>57600</v>
      </c>
      <c r="AG141" s="30">
        <v>57600</v>
      </c>
      <c r="AH141" s="30">
        <v>57600</v>
      </c>
      <c r="AI141" s="30">
        <v>57600</v>
      </c>
      <c r="AJ141" s="30">
        <v>57600</v>
      </c>
      <c r="AK141" s="30">
        <v>57600</v>
      </c>
      <c r="AL141" s="30">
        <v>57600</v>
      </c>
      <c r="AM141" s="30">
        <v>57600</v>
      </c>
      <c r="AN141" s="30">
        <v>57600</v>
      </c>
      <c r="AO141" s="30">
        <v>57600</v>
      </c>
      <c r="AP141" s="30">
        <v>57600</v>
      </c>
      <c r="AQ141" s="30">
        <f>Table_2021_CIP[[#This Row],[TotalYR1]]+S141</f>
        <v>276500</v>
      </c>
      <c r="AR141" s="30">
        <f>SUM(Table_2021_CIP[[#This Row],[TotalYR1]:[32-33]])</f>
        <v>737300</v>
      </c>
      <c r="AS141" s="30">
        <f>SUM(Table_2021_CIP[[#This Row],[TotalYR1]:[47-48]])</f>
        <v>1601300</v>
      </c>
      <c r="AT141" s="24">
        <f>SUM(Table_2021_CIP[[#This Row],[22-23]:[47-48]])</f>
        <v>1715700</v>
      </c>
    </row>
    <row r="142" spans="1:46" ht="12.75" customHeight="1" x14ac:dyDescent="0.25">
      <c r="A142" s="25">
        <f t="shared" si="4"/>
        <v>134</v>
      </c>
      <c r="B142" t="s">
        <v>81</v>
      </c>
      <c r="C142" t="b">
        <v>0</v>
      </c>
      <c r="D142">
        <v>253</v>
      </c>
      <c r="E142">
        <v>253</v>
      </c>
      <c r="F142" t="b">
        <v>0</v>
      </c>
      <c r="G142" t="s">
        <v>165</v>
      </c>
      <c r="H142" t="s">
        <v>436</v>
      </c>
      <c r="I142" s="26" t="s">
        <v>437</v>
      </c>
      <c r="K142" t="s">
        <v>73</v>
      </c>
      <c r="L142" t="s">
        <v>85</v>
      </c>
      <c r="M142" s="27">
        <v>0</v>
      </c>
      <c r="N142" s="28">
        <v>6</v>
      </c>
      <c r="O142" s="29" t="str">
        <f>IF(Table_2021_CIP[[#This Row],[Column2]]&lt;10,"A",IF(Table_2021_CIP[[#This Row],[Column2]]&gt;19,"C","B"))</f>
        <v>A</v>
      </c>
      <c r="P142" t="s">
        <v>438</v>
      </c>
      <c r="Q142" s="30">
        <v>116600</v>
      </c>
      <c r="R142" s="30">
        <v>450000</v>
      </c>
      <c r="S142" s="30">
        <v>150000</v>
      </c>
      <c r="T142" s="30">
        <v>150000</v>
      </c>
      <c r="U142" s="30">
        <v>150000</v>
      </c>
      <c r="V142" s="30">
        <v>150000</v>
      </c>
      <c r="W142" s="30">
        <v>150000</v>
      </c>
      <c r="X142" s="30">
        <v>150000</v>
      </c>
      <c r="Y142" s="30">
        <v>150000</v>
      </c>
      <c r="Z142" s="30">
        <v>150000</v>
      </c>
      <c r="AA142" s="30">
        <v>150000</v>
      </c>
      <c r="AB142" s="30">
        <v>150000</v>
      </c>
      <c r="AC142" s="30">
        <v>150000</v>
      </c>
      <c r="AD142" s="30">
        <v>150000</v>
      </c>
      <c r="AE142" s="30">
        <v>150000</v>
      </c>
      <c r="AF142" s="30">
        <v>150000</v>
      </c>
      <c r="AG142" s="30">
        <v>150000</v>
      </c>
      <c r="AH142" s="30">
        <v>150000</v>
      </c>
      <c r="AI142" s="30">
        <v>150000</v>
      </c>
      <c r="AJ142" s="30">
        <v>150000</v>
      </c>
      <c r="AK142" s="30">
        <v>150000</v>
      </c>
      <c r="AL142" s="30">
        <v>150000</v>
      </c>
      <c r="AM142" s="30">
        <v>150000</v>
      </c>
      <c r="AN142" s="30">
        <v>150000</v>
      </c>
      <c r="AO142" s="30">
        <v>150000</v>
      </c>
      <c r="AP142" s="30">
        <v>150000</v>
      </c>
      <c r="AQ142" s="30">
        <f>Table_2021_CIP[[#This Row],[TotalYR1]]+S142</f>
        <v>600000</v>
      </c>
      <c r="AR142" s="30">
        <f>SUM(Table_2021_CIP[[#This Row],[TotalYR1]:[32-33]])</f>
        <v>1800000</v>
      </c>
      <c r="AS142" s="30">
        <f>SUM(Table_2021_CIP[[#This Row],[TotalYR1]:[47-48]])</f>
        <v>4050000</v>
      </c>
      <c r="AT142" s="24">
        <f>SUM(Table_2021_CIP[[#This Row],[22-23]:[47-48]])</f>
        <v>4166600</v>
      </c>
    </row>
    <row r="143" spans="1:46" ht="12.75" customHeight="1" x14ac:dyDescent="0.25">
      <c r="A143" s="25">
        <f t="shared" si="4"/>
        <v>135</v>
      </c>
      <c r="B143" t="s">
        <v>81</v>
      </c>
      <c r="C143" t="b">
        <v>0</v>
      </c>
      <c r="D143">
        <v>251</v>
      </c>
      <c r="E143">
        <v>251</v>
      </c>
      <c r="F143" t="b">
        <v>0</v>
      </c>
      <c r="G143" t="s">
        <v>165</v>
      </c>
      <c r="H143" t="s">
        <v>439</v>
      </c>
      <c r="I143" s="26" t="s">
        <v>440</v>
      </c>
      <c r="K143" t="s">
        <v>73</v>
      </c>
      <c r="L143" t="s">
        <v>85</v>
      </c>
      <c r="M143" s="27">
        <v>0.10000000149011599</v>
      </c>
      <c r="N143" s="28">
        <v>1</v>
      </c>
      <c r="O143" s="29" t="str">
        <f>IF(Table_2021_CIP[[#This Row],[Column2]]&lt;10,"A",IF(Table_2021_CIP[[#This Row],[Column2]]&gt;19,"C","B"))</f>
        <v>A</v>
      </c>
      <c r="P143" t="s">
        <v>441</v>
      </c>
      <c r="Q143" s="30">
        <v>96556</v>
      </c>
      <c r="R143" s="30">
        <v>0</v>
      </c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Y143" s="30">
        <v>0</v>
      </c>
      <c r="Z143" s="30">
        <v>0</v>
      </c>
      <c r="AA143" s="30">
        <v>0</v>
      </c>
      <c r="AB143" s="30">
        <v>0</v>
      </c>
      <c r="AC143" s="30">
        <v>0</v>
      </c>
      <c r="AD143" s="30">
        <v>0</v>
      </c>
      <c r="AE143" s="30">
        <v>0</v>
      </c>
      <c r="AF143" s="30">
        <v>0</v>
      </c>
      <c r="AG143" s="30">
        <v>0</v>
      </c>
      <c r="AH143" s="30">
        <v>0</v>
      </c>
      <c r="AI143" s="30">
        <v>0</v>
      </c>
      <c r="AJ143" s="30">
        <v>0</v>
      </c>
      <c r="AK143" s="30">
        <v>0</v>
      </c>
      <c r="AL143" s="30">
        <v>0</v>
      </c>
      <c r="AM143" s="30">
        <v>0</v>
      </c>
      <c r="AN143" s="30">
        <v>0</v>
      </c>
      <c r="AO143" s="30">
        <v>0</v>
      </c>
      <c r="AP143" s="30">
        <v>0</v>
      </c>
      <c r="AQ143" s="30">
        <f>Table_2021_CIP[[#This Row],[TotalYR1]]+S143</f>
        <v>0</v>
      </c>
      <c r="AR143" s="30">
        <f>SUM(Table_2021_CIP[[#This Row],[TotalYR1]:[32-33]])</f>
        <v>0</v>
      </c>
      <c r="AS143" s="30">
        <f>SUM(Table_2021_CIP[[#This Row],[TotalYR1]:[47-48]])</f>
        <v>0</v>
      </c>
      <c r="AT143" s="24">
        <f>SUM(Table_2021_CIP[[#This Row],[22-23]:[47-48]])</f>
        <v>96556</v>
      </c>
    </row>
    <row r="144" spans="1:46" ht="12.75" customHeight="1" x14ac:dyDescent="0.25">
      <c r="A144" s="25">
        <f t="shared" si="4"/>
        <v>136</v>
      </c>
      <c r="B144" t="s">
        <v>92</v>
      </c>
      <c r="C144" t="b">
        <v>0</v>
      </c>
      <c r="D144">
        <v>253</v>
      </c>
      <c r="E144">
        <v>130</v>
      </c>
      <c r="F144" t="b">
        <v>0</v>
      </c>
      <c r="G144" t="s">
        <v>82</v>
      </c>
      <c r="H144" t="s">
        <v>442</v>
      </c>
      <c r="I144" s="26" t="s">
        <v>443</v>
      </c>
      <c r="K144" t="s">
        <v>73</v>
      </c>
      <c r="L144" t="s">
        <v>85</v>
      </c>
      <c r="M144" s="27">
        <v>0</v>
      </c>
      <c r="N144" s="28">
        <v>19</v>
      </c>
      <c r="O144" s="29" t="str">
        <f>IF(Table_2021_CIP[[#This Row],[Column2]]&lt;10,"A",IF(Table_2021_CIP[[#This Row],[Column2]]&gt;19,"C","B"))</f>
        <v>B</v>
      </c>
      <c r="P144" t="s">
        <v>444</v>
      </c>
      <c r="Q144" s="30"/>
      <c r="R144" s="30">
        <v>0</v>
      </c>
      <c r="S144" s="30">
        <v>0</v>
      </c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>
        <v>159000</v>
      </c>
      <c r="AH144" s="30">
        <v>690000</v>
      </c>
      <c r="AI144" s="30"/>
      <c r="AJ144" s="30"/>
      <c r="AK144" s="30"/>
      <c r="AL144" s="30"/>
      <c r="AM144" s="30"/>
      <c r="AN144" s="30"/>
      <c r="AO144" s="30"/>
      <c r="AP144" s="30"/>
      <c r="AQ144" s="30">
        <f>Table_2021_CIP[[#This Row],[TotalYR1]]+S144</f>
        <v>0</v>
      </c>
      <c r="AR144" s="30">
        <f>SUM(Table_2021_CIP[[#This Row],[TotalYR1]:[32-33]])</f>
        <v>0</v>
      </c>
      <c r="AS144" s="30">
        <f>SUM(Table_2021_CIP[[#This Row],[TotalYR1]:[47-48]])</f>
        <v>849000</v>
      </c>
      <c r="AT144" s="24">
        <f>SUM(Table_2021_CIP[[#This Row],[22-23]:[47-48]])</f>
        <v>849000</v>
      </c>
    </row>
    <row r="145" spans="1:46" ht="12.75" customHeight="1" x14ac:dyDescent="0.25">
      <c r="A145" s="25">
        <f t="shared" si="4"/>
        <v>137</v>
      </c>
      <c r="B145" t="s">
        <v>81</v>
      </c>
      <c r="C145" t="b">
        <v>0</v>
      </c>
      <c r="D145">
        <v>253</v>
      </c>
      <c r="E145">
        <v>253</v>
      </c>
      <c r="F145" t="b">
        <v>0</v>
      </c>
      <c r="G145" t="s">
        <v>165</v>
      </c>
      <c r="H145" t="s">
        <v>445</v>
      </c>
      <c r="I145" s="26" t="s">
        <v>446</v>
      </c>
      <c r="K145" t="s">
        <v>73</v>
      </c>
      <c r="L145" t="s">
        <v>85</v>
      </c>
      <c r="M145" s="27">
        <v>0</v>
      </c>
      <c r="N145" s="28">
        <v>5</v>
      </c>
      <c r="O145" s="29" t="str">
        <f>IF(Table_2021_CIP[[#This Row],[Column2]]&lt;10,"A",IF(Table_2021_CIP[[#This Row],[Column2]]&gt;19,"C","B"))</f>
        <v>A</v>
      </c>
      <c r="P145" t="s">
        <v>447</v>
      </c>
      <c r="Q145" s="30">
        <v>35000</v>
      </c>
      <c r="R145" s="30">
        <v>70000</v>
      </c>
      <c r="S145" s="30">
        <v>73500</v>
      </c>
      <c r="T145" s="30">
        <v>70000</v>
      </c>
      <c r="U145" s="30">
        <v>70000</v>
      </c>
      <c r="V145" s="30">
        <v>70000</v>
      </c>
      <c r="W145" s="30">
        <v>70000</v>
      </c>
      <c r="X145" s="30">
        <v>70000</v>
      </c>
      <c r="Y145" s="30">
        <v>70000</v>
      </c>
      <c r="Z145" s="30">
        <v>70000</v>
      </c>
      <c r="AA145" s="30">
        <v>70000</v>
      </c>
      <c r="AB145" s="30">
        <v>70000</v>
      </c>
      <c r="AC145" s="30">
        <v>70000</v>
      </c>
      <c r="AD145" s="30">
        <v>70000</v>
      </c>
      <c r="AE145" s="30">
        <v>70000</v>
      </c>
      <c r="AF145" s="30">
        <v>70000</v>
      </c>
      <c r="AG145" s="30">
        <v>70000</v>
      </c>
      <c r="AH145" s="30">
        <v>70000</v>
      </c>
      <c r="AI145" s="30">
        <v>70000</v>
      </c>
      <c r="AJ145" s="30">
        <v>70000</v>
      </c>
      <c r="AK145" s="30">
        <v>70000</v>
      </c>
      <c r="AL145" s="30">
        <v>70000</v>
      </c>
      <c r="AM145" s="30">
        <v>70000</v>
      </c>
      <c r="AN145" s="30">
        <v>70000</v>
      </c>
      <c r="AO145" s="30">
        <v>70000</v>
      </c>
      <c r="AP145" s="30">
        <v>70000</v>
      </c>
      <c r="AQ145" s="30">
        <f>Table_2021_CIP[[#This Row],[TotalYR1]]+S145</f>
        <v>143500</v>
      </c>
      <c r="AR145" s="30">
        <f>SUM(Table_2021_CIP[[#This Row],[TotalYR1]:[32-33]])</f>
        <v>703500</v>
      </c>
      <c r="AS145" s="30">
        <f>SUM(Table_2021_CIP[[#This Row],[TotalYR1]:[47-48]])</f>
        <v>1753500</v>
      </c>
      <c r="AT145" s="24">
        <f>SUM(Table_2021_CIP[[#This Row],[22-23]:[47-48]])</f>
        <v>1788500</v>
      </c>
    </row>
    <row r="146" spans="1:46" ht="12.75" customHeight="1" x14ac:dyDescent="0.25">
      <c r="A146" s="25">
        <f t="shared" si="4"/>
        <v>138</v>
      </c>
      <c r="B146" t="s">
        <v>399</v>
      </c>
      <c r="C146" t="b">
        <v>0</v>
      </c>
      <c r="D146">
        <v>250</v>
      </c>
      <c r="E146">
        <v>250</v>
      </c>
      <c r="F146" t="b">
        <v>0</v>
      </c>
      <c r="G146" t="s">
        <v>82</v>
      </c>
      <c r="H146" t="s">
        <v>448</v>
      </c>
      <c r="I146" s="26" t="s">
        <v>449</v>
      </c>
      <c r="K146" t="s">
        <v>103</v>
      </c>
      <c r="L146" t="s">
        <v>85</v>
      </c>
      <c r="M146" s="27">
        <v>0</v>
      </c>
      <c r="N146" s="28">
        <v>2</v>
      </c>
      <c r="O146" s="29" t="str">
        <f>IF(Table_2021_CIP[[#This Row],[Column2]]&lt;10,"A",IF(Table_2021_CIP[[#This Row],[Column2]]&gt;19,"C","B"))</f>
        <v>A</v>
      </c>
      <c r="P146" t="s">
        <v>450</v>
      </c>
      <c r="Q146" s="30"/>
      <c r="R146" s="30">
        <v>125000</v>
      </c>
      <c r="S146" s="30">
        <v>0</v>
      </c>
      <c r="T146" s="30"/>
      <c r="U146" s="30"/>
      <c r="V146" s="30"/>
      <c r="W146" s="30"/>
      <c r="X146" s="30"/>
      <c r="Y146" s="30">
        <v>250000</v>
      </c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>
        <f>Table_2021_CIP[[#This Row],[TotalYR1]]+S146</f>
        <v>125000</v>
      </c>
      <c r="AR146" s="30">
        <f>SUM(Table_2021_CIP[[#This Row],[TotalYR1]:[32-33]])</f>
        <v>375000</v>
      </c>
      <c r="AS146" s="30">
        <f>SUM(Table_2021_CIP[[#This Row],[TotalYR1]:[47-48]])</f>
        <v>375000</v>
      </c>
      <c r="AT146" s="24">
        <f>SUM(Table_2021_CIP[[#This Row],[22-23]:[47-48]])</f>
        <v>375000</v>
      </c>
    </row>
    <row r="147" spans="1:46" ht="12.75" customHeight="1" x14ac:dyDescent="0.25">
      <c r="A147" s="25">
        <f t="shared" si="4"/>
        <v>139</v>
      </c>
      <c r="B147" t="s">
        <v>399</v>
      </c>
      <c r="C147" t="b">
        <v>0</v>
      </c>
      <c r="D147">
        <v>250</v>
      </c>
      <c r="E147">
        <v>250</v>
      </c>
      <c r="F147" t="b">
        <v>0</v>
      </c>
      <c r="G147" t="s">
        <v>82</v>
      </c>
      <c r="H147" t="s">
        <v>451</v>
      </c>
      <c r="I147" s="26" t="s">
        <v>452</v>
      </c>
      <c r="K147" t="s">
        <v>103</v>
      </c>
      <c r="L147" t="s">
        <v>85</v>
      </c>
      <c r="M147" s="27">
        <v>0</v>
      </c>
      <c r="N147" s="28">
        <v>7</v>
      </c>
      <c r="O147" s="29" t="str">
        <f>IF(Table_2021_CIP[[#This Row],[Column2]]&lt;10,"A",IF(Table_2021_CIP[[#This Row],[Column2]]&gt;19,"C","B"))</f>
        <v>A</v>
      </c>
      <c r="P147" t="s">
        <v>453</v>
      </c>
      <c r="Q147" s="30"/>
      <c r="R147" s="30">
        <v>580000</v>
      </c>
      <c r="S147" s="30">
        <v>150000</v>
      </c>
      <c r="T147" s="30">
        <v>80000</v>
      </c>
      <c r="U147" s="30">
        <v>0</v>
      </c>
      <c r="V147" s="30">
        <v>325000</v>
      </c>
      <c r="W147" s="30">
        <v>150000</v>
      </c>
      <c r="X147" s="30">
        <v>80000</v>
      </c>
      <c r="Y147" s="30">
        <v>150000</v>
      </c>
      <c r="Z147" s="30">
        <v>150000</v>
      </c>
      <c r="AA147" s="30">
        <v>500000</v>
      </c>
      <c r="AB147" s="30">
        <v>250000</v>
      </c>
      <c r="AC147" s="30">
        <v>250000</v>
      </c>
      <c r="AD147" s="30">
        <v>250000</v>
      </c>
      <c r="AE147" s="30">
        <v>250000</v>
      </c>
      <c r="AF147" s="30">
        <v>250000</v>
      </c>
      <c r="AG147" s="30">
        <v>250000</v>
      </c>
      <c r="AH147" s="30">
        <v>250000</v>
      </c>
      <c r="AI147" s="30"/>
      <c r="AJ147" s="30"/>
      <c r="AK147" s="30"/>
      <c r="AL147" s="30"/>
      <c r="AM147" s="30"/>
      <c r="AN147" s="30"/>
      <c r="AO147" s="30"/>
      <c r="AP147" s="30"/>
      <c r="AQ147" s="30">
        <f>Table_2021_CIP[[#This Row],[TotalYR1]]+S147</f>
        <v>730000</v>
      </c>
      <c r="AR147" s="30">
        <f>SUM(Table_2021_CIP[[#This Row],[TotalYR1]:[32-33]])</f>
        <v>2165000</v>
      </c>
      <c r="AS147" s="30">
        <f>SUM(Table_2021_CIP[[#This Row],[TotalYR1]:[47-48]])</f>
        <v>3915000</v>
      </c>
      <c r="AT147" s="24">
        <f>SUM(Table_2021_CIP[[#This Row],[22-23]:[47-48]])</f>
        <v>3915000</v>
      </c>
    </row>
    <row r="148" spans="1:46" ht="12.75" customHeight="1" x14ac:dyDescent="0.25">
      <c r="A148" s="25">
        <f t="shared" si="4"/>
        <v>140</v>
      </c>
      <c r="B148" t="s">
        <v>399</v>
      </c>
      <c r="C148" t="b">
        <v>0</v>
      </c>
      <c r="D148">
        <v>250</v>
      </c>
      <c r="E148">
        <v>250</v>
      </c>
      <c r="F148" t="b">
        <v>0</v>
      </c>
      <c r="G148" t="s">
        <v>82</v>
      </c>
      <c r="H148" t="s">
        <v>454</v>
      </c>
      <c r="I148" s="26" t="s">
        <v>455</v>
      </c>
      <c r="K148" t="s">
        <v>103</v>
      </c>
      <c r="L148" t="s">
        <v>85</v>
      </c>
      <c r="M148" s="27">
        <v>0</v>
      </c>
      <c r="N148" s="28"/>
      <c r="O148" s="29" t="s">
        <v>299</v>
      </c>
      <c r="P148" t="s">
        <v>456</v>
      </c>
      <c r="Q148" s="30"/>
      <c r="R148" s="30">
        <v>1250000</v>
      </c>
      <c r="S148" s="30">
        <v>625000</v>
      </c>
      <c r="T148" s="30">
        <v>1325000</v>
      </c>
      <c r="U148" s="30">
        <v>1800000</v>
      </c>
      <c r="V148" s="30">
        <v>1000000</v>
      </c>
      <c r="W148" s="30">
        <v>500000</v>
      </c>
      <c r="X148" s="30">
        <v>275000</v>
      </c>
      <c r="Y148" s="30">
        <v>250000</v>
      </c>
      <c r="Z148" s="30">
        <v>150000</v>
      </c>
      <c r="AA148" s="30">
        <v>200000</v>
      </c>
      <c r="AB148" s="30">
        <v>0</v>
      </c>
      <c r="AC148" s="30">
        <v>225000</v>
      </c>
      <c r="AD148" s="30">
        <v>150000</v>
      </c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>
        <f>Table_2021_CIP[[#This Row],[TotalYR1]]+S148</f>
        <v>1875000</v>
      </c>
      <c r="AR148" s="30">
        <f>SUM(Table_2021_CIP[[#This Row],[TotalYR1]:[32-33]])</f>
        <v>7375000</v>
      </c>
      <c r="AS148" s="30">
        <f>SUM(Table_2021_CIP[[#This Row],[TotalYR1]:[47-48]])</f>
        <v>7750000</v>
      </c>
      <c r="AT148" s="24">
        <f>SUM(Table_2021_CIP[[#This Row],[22-23]:[47-48]])</f>
        <v>7750000</v>
      </c>
    </row>
    <row r="149" spans="1:46" ht="12.75" customHeight="1" x14ac:dyDescent="0.25">
      <c r="A149" s="25">
        <f t="shared" si="4"/>
        <v>141</v>
      </c>
      <c r="B149" t="s">
        <v>399</v>
      </c>
      <c r="C149" t="b">
        <v>0</v>
      </c>
      <c r="D149">
        <v>250</v>
      </c>
      <c r="E149">
        <v>250</v>
      </c>
      <c r="F149" t="b">
        <v>0</v>
      </c>
      <c r="G149" t="s">
        <v>82</v>
      </c>
      <c r="H149" t="s">
        <v>457</v>
      </c>
      <c r="I149" s="26" t="s">
        <v>458</v>
      </c>
      <c r="K149" t="s">
        <v>73</v>
      </c>
      <c r="L149" t="s">
        <v>85</v>
      </c>
      <c r="M149" s="27">
        <v>0</v>
      </c>
      <c r="N149" s="28">
        <v>7</v>
      </c>
      <c r="O149" s="29" t="str">
        <f>IF(Table_2021_CIP[[#This Row],[Column2]]&lt;10,"A",IF(Table_2021_CIP[[#This Row],[Column2]]&gt;19,"C","B"))</f>
        <v>A</v>
      </c>
      <c r="P149" t="s">
        <v>459</v>
      </c>
      <c r="Q149" s="30"/>
      <c r="R149" s="30">
        <v>275000</v>
      </c>
      <c r="S149" s="30">
        <v>150000</v>
      </c>
      <c r="T149" s="30">
        <v>0</v>
      </c>
      <c r="U149" s="30">
        <v>75000</v>
      </c>
      <c r="V149" s="30">
        <v>0</v>
      </c>
      <c r="W149" s="30">
        <v>225000</v>
      </c>
      <c r="X149" s="30">
        <v>125000</v>
      </c>
      <c r="Y149" s="30">
        <v>215000</v>
      </c>
      <c r="Z149" s="30">
        <v>15000</v>
      </c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>
        <f>Table_2021_CIP[[#This Row],[TotalYR1]]+S149</f>
        <v>425000</v>
      </c>
      <c r="AR149" s="30">
        <f>SUM(Table_2021_CIP[[#This Row],[TotalYR1]:[32-33]])</f>
        <v>1080000</v>
      </c>
      <c r="AS149" s="30">
        <f>SUM(Table_2021_CIP[[#This Row],[TotalYR1]:[47-48]])</f>
        <v>1080000</v>
      </c>
      <c r="AT149" s="24">
        <f>SUM(Table_2021_CIP[[#This Row],[22-23]:[47-48]])</f>
        <v>1080000</v>
      </c>
    </row>
    <row r="150" spans="1:46" ht="12.75" customHeight="1" x14ac:dyDescent="0.25">
      <c r="A150" s="25">
        <f t="shared" si="4"/>
        <v>142</v>
      </c>
      <c r="B150" t="s">
        <v>81</v>
      </c>
      <c r="C150" t="b">
        <v>0</v>
      </c>
      <c r="D150">
        <v>253</v>
      </c>
      <c r="E150">
        <v>130</v>
      </c>
      <c r="F150" t="b">
        <v>0</v>
      </c>
      <c r="G150" t="s">
        <v>107</v>
      </c>
      <c r="H150" t="s">
        <v>460</v>
      </c>
      <c r="I150" s="26" t="s">
        <v>461</v>
      </c>
      <c r="K150" t="s">
        <v>73</v>
      </c>
      <c r="L150" t="s">
        <v>85</v>
      </c>
      <c r="M150" s="27">
        <v>0.10000000149011599</v>
      </c>
      <c r="N150" s="28">
        <v>16</v>
      </c>
      <c r="O150" s="29" t="str">
        <f>IF(Table_2021_CIP[[#This Row],[Column2]]&lt;10,"A",IF(Table_2021_CIP[[#This Row],[Column2]]&gt;19,"C","B"))</f>
        <v>B</v>
      </c>
      <c r="P150" t="s">
        <v>462</v>
      </c>
      <c r="Q150" s="30"/>
      <c r="R150" s="30"/>
      <c r="S150" s="30">
        <v>0</v>
      </c>
      <c r="T150" s="30"/>
      <c r="U150" s="30">
        <v>46196.073600000003</v>
      </c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>
        <f>Table_2021_CIP[[#This Row],[TotalYR1]]+S150</f>
        <v>0</v>
      </c>
      <c r="AR150" s="30">
        <f>SUM(Table_2021_CIP[[#This Row],[TotalYR1]:[32-33]])</f>
        <v>46196.073600000003</v>
      </c>
      <c r="AS150" s="30">
        <f>SUM(Table_2021_CIP[[#This Row],[TotalYR1]:[47-48]])</f>
        <v>46196.073600000003</v>
      </c>
      <c r="AT150" s="24">
        <f>SUM(Table_2021_CIP[[#This Row],[22-23]:[47-48]])</f>
        <v>46196.073600000003</v>
      </c>
    </row>
    <row r="151" spans="1:46" ht="12.75" customHeight="1" x14ac:dyDescent="0.25">
      <c r="A151" s="25">
        <f t="shared" si="4"/>
        <v>143</v>
      </c>
      <c r="B151" t="s">
        <v>81</v>
      </c>
      <c r="C151" t="b">
        <v>0</v>
      </c>
      <c r="D151">
        <v>253</v>
      </c>
      <c r="E151">
        <v>253</v>
      </c>
      <c r="F151" t="b">
        <v>0</v>
      </c>
      <c r="G151" t="s">
        <v>107</v>
      </c>
      <c r="H151" t="s">
        <v>463</v>
      </c>
      <c r="I151" s="26" t="s">
        <v>464</v>
      </c>
      <c r="K151" t="s">
        <v>73</v>
      </c>
      <c r="L151" t="s">
        <v>85</v>
      </c>
      <c r="M151" s="27">
        <v>0.10000000149011599</v>
      </c>
      <c r="N151" s="28">
        <v>6</v>
      </c>
      <c r="O151" s="29" t="str">
        <f>IF(Table_2021_CIP[[#This Row],[Column2]]&lt;10,"A",IF(Table_2021_CIP[[#This Row],[Column2]]&gt;19,"C","B"))</f>
        <v>A</v>
      </c>
      <c r="P151" t="s">
        <v>465</v>
      </c>
      <c r="Q151" s="30">
        <v>12000</v>
      </c>
      <c r="R151" s="30">
        <v>42200</v>
      </c>
      <c r="S151" s="30">
        <v>44300</v>
      </c>
      <c r="T151" s="30">
        <v>42200</v>
      </c>
      <c r="U151" s="30">
        <v>42200</v>
      </c>
      <c r="V151" s="30">
        <v>42200</v>
      </c>
      <c r="W151" s="30">
        <v>42200</v>
      </c>
      <c r="X151" s="30">
        <v>42200</v>
      </c>
      <c r="Y151" s="30">
        <v>42200</v>
      </c>
      <c r="Z151" s="30">
        <v>42200</v>
      </c>
      <c r="AA151" s="30">
        <v>42200</v>
      </c>
      <c r="AB151" s="30">
        <v>42200</v>
      </c>
      <c r="AC151" s="30">
        <v>42200</v>
      </c>
      <c r="AD151" s="30">
        <v>42200</v>
      </c>
      <c r="AE151" s="30">
        <v>42200</v>
      </c>
      <c r="AF151" s="30">
        <v>42200</v>
      </c>
      <c r="AG151" s="30">
        <v>42200</v>
      </c>
      <c r="AH151" s="30">
        <v>42200</v>
      </c>
      <c r="AI151" s="30">
        <v>42200</v>
      </c>
      <c r="AJ151" s="30">
        <v>42200</v>
      </c>
      <c r="AK151" s="30">
        <v>42200</v>
      </c>
      <c r="AL151" s="30">
        <v>42200</v>
      </c>
      <c r="AM151" s="30">
        <v>42200</v>
      </c>
      <c r="AN151" s="30">
        <v>42200</v>
      </c>
      <c r="AO151" s="30">
        <v>42200</v>
      </c>
      <c r="AP151" s="30">
        <v>42200</v>
      </c>
      <c r="AQ151" s="30">
        <f>Table_2021_CIP[[#This Row],[TotalYR1]]+S151</f>
        <v>86500</v>
      </c>
      <c r="AR151" s="30">
        <f>SUM(Table_2021_CIP[[#This Row],[TotalYR1]:[32-33]])</f>
        <v>424100</v>
      </c>
      <c r="AS151" s="30">
        <f>SUM(Table_2021_CIP[[#This Row],[TotalYR1]:[47-48]])</f>
        <v>1057100</v>
      </c>
      <c r="AT151" s="24">
        <f>SUM(Table_2021_CIP[[#This Row],[22-23]:[47-48]])</f>
        <v>1069100</v>
      </c>
    </row>
    <row r="152" spans="1:46" ht="12.75" customHeight="1" x14ac:dyDescent="0.25">
      <c r="A152" s="25">
        <f t="shared" si="4"/>
        <v>144</v>
      </c>
      <c r="B152" t="s">
        <v>81</v>
      </c>
      <c r="C152" t="b">
        <v>0</v>
      </c>
      <c r="D152">
        <v>253</v>
      </c>
      <c r="E152">
        <v>253</v>
      </c>
      <c r="F152" t="b">
        <v>0</v>
      </c>
      <c r="G152" t="s">
        <v>82</v>
      </c>
      <c r="H152" t="s">
        <v>466</v>
      </c>
      <c r="I152" s="26" t="s">
        <v>467</v>
      </c>
      <c r="K152" t="s">
        <v>73</v>
      </c>
      <c r="L152" t="s">
        <v>85</v>
      </c>
      <c r="M152" s="27">
        <v>0</v>
      </c>
      <c r="N152" s="28">
        <v>16</v>
      </c>
      <c r="O152" s="29" t="str">
        <f>IF(Table_2021_CIP[[#This Row],[Column2]]&lt;10,"A",IF(Table_2021_CIP[[#This Row],[Column2]]&gt;19,"C","B"))</f>
        <v>B</v>
      </c>
      <c r="P152" t="s">
        <v>468</v>
      </c>
      <c r="Q152" s="30">
        <v>0</v>
      </c>
      <c r="R152" s="30">
        <v>15500</v>
      </c>
      <c r="S152" s="30">
        <v>16200</v>
      </c>
      <c r="T152" s="30">
        <v>15500</v>
      </c>
      <c r="U152" s="30">
        <v>15500</v>
      </c>
      <c r="V152" s="30">
        <v>15500</v>
      </c>
      <c r="W152" s="30">
        <v>15500</v>
      </c>
      <c r="X152" s="30">
        <v>15500</v>
      </c>
      <c r="Y152" s="30">
        <v>15500</v>
      </c>
      <c r="Z152" s="30">
        <v>15500</v>
      </c>
      <c r="AA152" s="30">
        <v>15500</v>
      </c>
      <c r="AB152" s="30">
        <v>15500</v>
      </c>
      <c r="AC152" s="30">
        <v>15500</v>
      </c>
      <c r="AD152" s="30">
        <v>15500</v>
      </c>
      <c r="AE152" s="30">
        <v>15500</v>
      </c>
      <c r="AF152" s="30">
        <v>15500</v>
      </c>
      <c r="AG152" s="30">
        <v>15500</v>
      </c>
      <c r="AH152" s="30">
        <v>15500</v>
      </c>
      <c r="AI152" s="30">
        <v>15500</v>
      </c>
      <c r="AJ152" s="30">
        <v>15500</v>
      </c>
      <c r="AK152" s="30">
        <v>15500</v>
      </c>
      <c r="AL152" s="30">
        <v>15500</v>
      </c>
      <c r="AM152" s="30">
        <v>15500</v>
      </c>
      <c r="AN152" s="30">
        <v>15500</v>
      </c>
      <c r="AO152" s="30">
        <v>15500</v>
      </c>
      <c r="AP152" s="30">
        <v>15500</v>
      </c>
      <c r="AQ152" s="30">
        <f>Table_2021_CIP[[#This Row],[TotalYR1]]+S152</f>
        <v>31700</v>
      </c>
      <c r="AR152" s="30">
        <f>SUM(Table_2021_CIP[[#This Row],[TotalYR1]:[32-33]])</f>
        <v>155700</v>
      </c>
      <c r="AS152" s="30">
        <f>SUM(Table_2021_CIP[[#This Row],[TotalYR1]:[47-48]])</f>
        <v>388200</v>
      </c>
      <c r="AT152" s="24">
        <f>SUM(Table_2021_CIP[[#This Row],[22-23]:[47-48]])</f>
        <v>388200</v>
      </c>
    </row>
    <row r="153" spans="1:46" ht="12.75" customHeight="1" x14ac:dyDescent="0.25">
      <c r="A153" s="25">
        <f t="shared" si="4"/>
        <v>145</v>
      </c>
      <c r="B153" t="s">
        <v>92</v>
      </c>
      <c r="C153" t="b">
        <v>0</v>
      </c>
      <c r="D153">
        <v>250</v>
      </c>
      <c r="E153">
        <v>130</v>
      </c>
      <c r="F153" t="b">
        <v>0</v>
      </c>
      <c r="G153" t="s">
        <v>82</v>
      </c>
      <c r="H153" t="s">
        <v>469</v>
      </c>
      <c r="I153" s="26" t="s">
        <v>470</v>
      </c>
      <c r="K153" t="s">
        <v>73</v>
      </c>
      <c r="L153" t="s">
        <v>85</v>
      </c>
      <c r="M153" s="27">
        <v>0</v>
      </c>
      <c r="N153" s="28">
        <v>13</v>
      </c>
      <c r="O153" s="29" t="str">
        <f>IF(Table_2021_CIP[[#This Row],[Column2]]&lt;10,"A",IF(Table_2021_CIP[[#This Row],[Column2]]&gt;19,"C","B"))</f>
        <v>B</v>
      </c>
      <c r="P153" t="s">
        <v>471</v>
      </c>
      <c r="Q153" s="30"/>
      <c r="R153" s="30">
        <v>0</v>
      </c>
      <c r="S153" s="30">
        <v>0</v>
      </c>
      <c r="T153" s="30"/>
      <c r="U153" s="30"/>
      <c r="V153" s="30"/>
      <c r="W153" s="30">
        <v>220000</v>
      </c>
      <c r="X153" s="30">
        <v>310000</v>
      </c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>
        <f>Table_2021_CIP[[#This Row],[TotalYR1]]+S153</f>
        <v>0</v>
      </c>
      <c r="AR153" s="30">
        <f>SUM(Table_2021_CIP[[#This Row],[TotalYR1]:[32-33]])</f>
        <v>530000</v>
      </c>
      <c r="AS153" s="30">
        <f>SUM(Table_2021_CIP[[#This Row],[TotalYR1]:[47-48]])</f>
        <v>530000</v>
      </c>
      <c r="AT153" s="24">
        <f>SUM(Table_2021_CIP[[#This Row],[22-23]:[47-48]])</f>
        <v>530000</v>
      </c>
    </row>
    <row r="154" spans="1:46" ht="12.75" customHeight="1" x14ac:dyDescent="0.25">
      <c r="A154" s="25">
        <f t="shared" si="4"/>
        <v>146</v>
      </c>
      <c r="B154" t="s">
        <v>81</v>
      </c>
      <c r="C154" t="b">
        <v>0</v>
      </c>
      <c r="D154">
        <v>253</v>
      </c>
      <c r="E154">
        <v>253</v>
      </c>
      <c r="F154" t="b">
        <v>0</v>
      </c>
      <c r="G154" t="s">
        <v>82</v>
      </c>
      <c r="H154" t="s">
        <v>472</v>
      </c>
      <c r="I154" s="26" t="s">
        <v>473</v>
      </c>
      <c r="K154" t="s">
        <v>73</v>
      </c>
      <c r="L154" t="s">
        <v>85</v>
      </c>
      <c r="M154" s="27">
        <v>0</v>
      </c>
      <c r="N154" s="28">
        <v>15</v>
      </c>
      <c r="O154" s="29" t="str">
        <f>IF(Table_2021_CIP[[#This Row],[Column2]]&lt;10,"A",IF(Table_2021_CIP[[#This Row],[Column2]]&gt;19,"C","B"))</f>
        <v>B</v>
      </c>
      <c r="P154" t="s">
        <v>474</v>
      </c>
      <c r="Q154" s="30">
        <v>18000</v>
      </c>
      <c r="R154" s="30">
        <v>32000</v>
      </c>
      <c r="S154" s="30">
        <v>66000</v>
      </c>
      <c r="T154" s="30">
        <v>32000</v>
      </c>
      <c r="U154" s="30">
        <v>32000</v>
      </c>
      <c r="V154" s="30">
        <v>32000</v>
      </c>
      <c r="W154" s="30">
        <v>32000</v>
      </c>
      <c r="X154" s="30">
        <v>32000</v>
      </c>
      <c r="Y154" s="30">
        <v>32000</v>
      </c>
      <c r="Z154" s="30">
        <v>32000</v>
      </c>
      <c r="AA154" s="30">
        <v>32000</v>
      </c>
      <c r="AB154" s="30">
        <v>32000</v>
      </c>
      <c r="AC154" s="30">
        <v>32000</v>
      </c>
      <c r="AD154" s="30">
        <v>32000</v>
      </c>
      <c r="AE154" s="30">
        <v>32000</v>
      </c>
      <c r="AF154" s="30">
        <v>32000</v>
      </c>
      <c r="AG154" s="30">
        <v>32000</v>
      </c>
      <c r="AH154" s="30">
        <v>32000</v>
      </c>
      <c r="AI154" s="30">
        <v>32000</v>
      </c>
      <c r="AJ154" s="30">
        <v>32000</v>
      </c>
      <c r="AK154" s="30">
        <v>32000</v>
      </c>
      <c r="AL154" s="30">
        <v>32000</v>
      </c>
      <c r="AM154" s="30">
        <v>32000</v>
      </c>
      <c r="AN154" s="30">
        <v>32000</v>
      </c>
      <c r="AO154" s="30">
        <v>32000</v>
      </c>
      <c r="AP154" s="30">
        <v>32000</v>
      </c>
      <c r="AQ154" s="30">
        <f>Table_2021_CIP[[#This Row],[TotalYR1]]+S154</f>
        <v>98000</v>
      </c>
      <c r="AR154" s="30">
        <f>SUM(Table_2021_CIP[[#This Row],[TotalYR1]:[32-33]])</f>
        <v>354000</v>
      </c>
      <c r="AS154" s="30">
        <f>SUM(Table_2021_CIP[[#This Row],[TotalYR1]:[47-48]])</f>
        <v>834000</v>
      </c>
      <c r="AT154" s="24">
        <f>SUM(Table_2021_CIP[[#This Row],[22-23]:[47-48]])</f>
        <v>852000</v>
      </c>
    </row>
    <row r="155" spans="1:46" ht="12.75" customHeight="1" x14ac:dyDescent="0.25">
      <c r="A155" s="25">
        <f t="shared" si="4"/>
        <v>147</v>
      </c>
      <c r="B155" t="s">
        <v>101</v>
      </c>
      <c r="C155" t="b">
        <v>0</v>
      </c>
      <c r="D155">
        <v>240</v>
      </c>
      <c r="E155">
        <v>220</v>
      </c>
      <c r="F155" t="b">
        <v>0</v>
      </c>
      <c r="G155" t="s">
        <v>107</v>
      </c>
      <c r="H155" t="s">
        <v>475</v>
      </c>
      <c r="I155" s="26" t="s">
        <v>476</v>
      </c>
      <c r="K155" t="s">
        <v>73</v>
      </c>
      <c r="L155" t="s">
        <v>85</v>
      </c>
      <c r="M155" s="27">
        <v>0.22600000000000001</v>
      </c>
      <c r="N155" s="28">
        <v>27</v>
      </c>
      <c r="O155" s="29" t="str">
        <f>IF(Table_2021_CIP[[#This Row],[Column2]]&lt;10,"A",IF(Table_2021_CIP[[#This Row],[Column2]]&gt;19,"C","B"))</f>
        <v>C</v>
      </c>
      <c r="P155" t="s">
        <v>477</v>
      </c>
      <c r="Q155" s="30"/>
      <c r="R155" s="30">
        <v>0</v>
      </c>
      <c r="S155" s="30">
        <v>10000</v>
      </c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>
        <f>Table_2021_CIP[[#This Row],[TotalYR1]]+S155</f>
        <v>10000</v>
      </c>
      <c r="AR155" s="30">
        <f>SUM(Table_2021_CIP[[#This Row],[TotalYR1]:[32-33]])</f>
        <v>10000</v>
      </c>
      <c r="AS155" s="30">
        <f>SUM(Table_2021_CIP[[#This Row],[TotalYR1]:[47-48]])</f>
        <v>10000</v>
      </c>
      <c r="AT155" s="24">
        <f>SUM(Table_2021_CIP[[#This Row],[22-23]:[47-48]])</f>
        <v>10000</v>
      </c>
    </row>
    <row r="156" spans="1:46" ht="12.75" customHeight="1" x14ac:dyDescent="0.25">
      <c r="A156" s="17">
        <f t="shared" si="4"/>
        <v>148</v>
      </c>
      <c r="B156" s="18" t="s">
        <v>70</v>
      </c>
      <c r="C156" s="18" t="b">
        <v>1</v>
      </c>
      <c r="D156" s="18">
        <v>240</v>
      </c>
      <c r="E156" s="18">
        <v>240</v>
      </c>
      <c r="F156" s="18" t="b">
        <v>0</v>
      </c>
      <c r="G156" s="18" t="s">
        <v>82</v>
      </c>
      <c r="H156" s="18" t="s">
        <v>478</v>
      </c>
      <c r="I156" s="19" t="s">
        <v>479</v>
      </c>
      <c r="J156" s="34"/>
      <c r="K156" s="18" t="s">
        <v>73</v>
      </c>
      <c r="L156" s="18" t="s">
        <v>74</v>
      </c>
      <c r="M156" s="20">
        <v>0</v>
      </c>
      <c r="N156" s="21">
        <v>2</v>
      </c>
      <c r="O156" s="22" t="str">
        <f>IF(Table_2021_CIP[[#This Row],[Column2]]&lt;10,"A",IF(Table_2021_CIP[[#This Row],[Column2]]&gt;19,"C","B"))</f>
        <v>A</v>
      </c>
      <c r="P156" s="18" t="s">
        <v>480</v>
      </c>
      <c r="Q156" s="23"/>
      <c r="R156" s="23">
        <v>13280</v>
      </c>
      <c r="S156" s="23">
        <v>33280</v>
      </c>
      <c r="T156" s="23">
        <v>33280</v>
      </c>
      <c r="U156" s="23">
        <v>33280</v>
      </c>
      <c r="V156" s="23">
        <v>33280</v>
      </c>
      <c r="W156" s="23">
        <v>33280</v>
      </c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>
        <f>Table_2021_CIP[[#This Row],[TotalYR1]]+S156</f>
        <v>46560</v>
      </c>
      <c r="AR156" s="23">
        <f>SUM(Table_2021_CIP[[#This Row],[TotalYR1]:[32-33]])</f>
        <v>179680</v>
      </c>
      <c r="AS156" s="23">
        <f>SUM(Table_2021_CIP[[#This Row],[TotalYR1]:[47-48]])</f>
        <v>179680</v>
      </c>
      <c r="AT156" s="24">
        <f>SUM(Table_2021_CIP[[#This Row],[22-23]:[47-48]])</f>
        <v>179680</v>
      </c>
    </row>
    <row r="157" spans="1:46" ht="12.75" customHeight="1" x14ac:dyDescent="0.25">
      <c r="A157" s="25">
        <f t="shared" si="4"/>
        <v>149</v>
      </c>
      <c r="B157" t="s">
        <v>101</v>
      </c>
      <c r="C157" t="b">
        <v>0</v>
      </c>
      <c r="D157">
        <v>251</v>
      </c>
      <c r="E157">
        <v>251</v>
      </c>
      <c r="F157" t="b">
        <v>0</v>
      </c>
      <c r="G157" t="s">
        <v>82</v>
      </c>
      <c r="H157" t="s">
        <v>396</v>
      </c>
      <c r="I157" s="26" t="s">
        <v>481</v>
      </c>
      <c r="K157" t="s">
        <v>73</v>
      </c>
      <c r="L157" t="s">
        <v>85</v>
      </c>
      <c r="M157" s="27">
        <v>0</v>
      </c>
      <c r="N157" s="28">
        <v>15</v>
      </c>
      <c r="O157" s="29" t="str">
        <f>IF(Table_2021_CIP[[#This Row],[Column2]]&lt;10,"A",IF(Table_2021_CIP[[#This Row],[Column2]]&gt;19,"C","B"))</f>
        <v>B</v>
      </c>
      <c r="P157" t="s">
        <v>482</v>
      </c>
      <c r="Q157" s="30">
        <v>0</v>
      </c>
      <c r="R157" s="30">
        <v>150000</v>
      </c>
      <c r="S157" s="30">
        <v>180000</v>
      </c>
      <c r="T157" s="30">
        <v>0</v>
      </c>
      <c r="U157" s="30">
        <v>0</v>
      </c>
      <c r="V157" s="30">
        <v>0</v>
      </c>
      <c r="W157" s="30">
        <v>0</v>
      </c>
      <c r="X157" s="30">
        <v>0</v>
      </c>
      <c r="Y157" s="30">
        <v>500000</v>
      </c>
      <c r="Z157" s="30">
        <v>0</v>
      </c>
      <c r="AA157" s="30">
        <v>0</v>
      </c>
      <c r="AB157" s="30">
        <v>0</v>
      </c>
      <c r="AC157" s="30">
        <v>0</v>
      </c>
      <c r="AD157" s="30">
        <v>0</v>
      </c>
      <c r="AE157" s="30">
        <v>0</v>
      </c>
      <c r="AF157" s="30">
        <v>0</v>
      </c>
      <c r="AG157" s="30">
        <v>0</v>
      </c>
      <c r="AH157" s="30">
        <v>0</v>
      </c>
      <c r="AI157" s="30">
        <v>0</v>
      </c>
      <c r="AJ157" s="30">
        <v>0</v>
      </c>
      <c r="AK157" s="30">
        <v>0</v>
      </c>
      <c r="AL157" s="30">
        <v>0</v>
      </c>
      <c r="AM157" s="30">
        <v>0</v>
      </c>
      <c r="AN157" s="30">
        <v>0</v>
      </c>
      <c r="AO157" s="30">
        <v>0</v>
      </c>
      <c r="AP157" s="30">
        <v>0</v>
      </c>
      <c r="AQ157" s="30">
        <f>Table_2021_CIP[[#This Row],[TotalYR1]]+S157</f>
        <v>330000</v>
      </c>
      <c r="AR157" s="30">
        <f>SUM(Table_2021_CIP[[#This Row],[TotalYR1]:[32-33]])</f>
        <v>830000</v>
      </c>
      <c r="AS157" s="30">
        <f>SUM(Table_2021_CIP[[#This Row],[TotalYR1]:[47-48]])</f>
        <v>830000</v>
      </c>
      <c r="AT157" s="24">
        <f>SUM(Table_2021_CIP[[#This Row],[22-23]:[47-48]])</f>
        <v>830000</v>
      </c>
    </row>
    <row r="158" spans="1:46" ht="12.75" customHeight="1" x14ac:dyDescent="0.25">
      <c r="A158" s="25">
        <f t="shared" si="4"/>
        <v>150</v>
      </c>
      <c r="B158" t="s">
        <v>81</v>
      </c>
      <c r="C158" t="b">
        <v>0</v>
      </c>
      <c r="D158">
        <v>253</v>
      </c>
      <c r="E158">
        <v>130</v>
      </c>
      <c r="F158" t="b">
        <v>0</v>
      </c>
      <c r="G158" t="s">
        <v>107</v>
      </c>
      <c r="H158" t="s">
        <v>483</v>
      </c>
      <c r="I158" s="26" t="s">
        <v>484</v>
      </c>
      <c r="K158" t="s">
        <v>73</v>
      </c>
      <c r="L158" t="s">
        <v>85</v>
      </c>
      <c r="M158" s="27">
        <v>0.22600000000000001</v>
      </c>
      <c r="N158" s="28">
        <v>16</v>
      </c>
      <c r="O158" s="29" t="str">
        <f>IF(Table_2021_CIP[[#This Row],[Column2]]&lt;10,"A",IF(Table_2021_CIP[[#This Row],[Column2]]&gt;19,"C","B"))</f>
        <v>B</v>
      </c>
      <c r="P158" t="s">
        <v>485</v>
      </c>
      <c r="Q158" s="30">
        <v>0</v>
      </c>
      <c r="R158" s="30"/>
      <c r="S158" s="30"/>
      <c r="T158" s="30">
        <v>223104</v>
      </c>
      <c r="U158" s="30">
        <v>826208</v>
      </c>
      <c r="V158" s="30">
        <v>445000</v>
      </c>
      <c r="W158" s="30">
        <v>0</v>
      </c>
      <c r="X158" s="30">
        <v>0</v>
      </c>
      <c r="Y158" s="30">
        <v>0</v>
      </c>
      <c r="Z158" s="30">
        <v>0</v>
      </c>
      <c r="AA158" s="30">
        <v>0</v>
      </c>
      <c r="AB158" s="30">
        <v>0</v>
      </c>
      <c r="AC158" s="30">
        <v>0</v>
      </c>
      <c r="AD158" s="30">
        <v>0</v>
      </c>
      <c r="AE158" s="30">
        <v>0</v>
      </c>
      <c r="AF158" s="30">
        <v>0</v>
      </c>
      <c r="AG158" s="30">
        <v>0</v>
      </c>
      <c r="AH158" s="30">
        <v>0</v>
      </c>
      <c r="AI158" s="30">
        <v>0</v>
      </c>
      <c r="AJ158" s="30">
        <v>0</v>
      </c>
      <c r="AK158" s="30">
        <v>0</v>
      </c>
      <c r="AL158" s="30">
        <v>0</v>
      </c>
      <c r="AM158" s="30">
        <v>0</v>
      </c>
      <c r="AN158" s="30">
        <v>0</v>
      </c>
      <c r="AO158" s="30">
        <v>0</v>
      </c>
      <c r="AP158" s="30">
        <v>0</v>
      </c>
      <c r="AQ158" s="30">
        <f>Table_2021_CIP[[#This Row],[TotalYR1]]+S158</f>
        <v>0</v>
      </c>
      <c r="AR158" s="30">
        <f>SUM(Table_2021_CIP[[#This Row],[TotalYR1]:[32-33]])</f>
        <v>1494312</v>
      </c>
      <c r="AS158" s="30">
        <f>SUM(Table_2021_CIP[[#This Row],[TotalYR1]:[47-48]])</f>
        <v>1494312</v>
      </c>
      <c r="AT158" s="24">
        <f>SUM(Table_2021_CIP[[#This Row],[22-23]:[47-48]])</f>
        <v>1494312</v>
      </c>
    </row>
    <row r="159" spans="1:46" ht="12.75" customHeight="1" x14ac:dyDescent="0.25">
      <c r="A159" s="25">
        <f t="shared" si="4"/>
        <v>151</v>
      </c>
      <c r="B159" t="s">
        <v>81</v>
      </c>
      <c r="C159" t="b">
        <v>0</v>
      </c>
      <c r="D159">
        <v>253</v>
      </c>
      <c r="E159">
        <v>130</v>
      </c>
      <c r="F159" t="b">
        <v>0</v>
      </c>
      <c r="G159" t="s">
        <v>156</v>
      </c>
      <c r="H159" t="s">
        <v>486</v>
      </c>
      <c r="I159" s="26" t="s">
        <v>487</v>
      </c>
      <c r="K159" t="s">
        <v>73</v>
      </c>
      <c r="L159" t="s">
        <v>85</v>
      </c>
      <c r="M159" s="27">
        <v>0.22600000000000001</v>
      </c>
      <c r="N159" s="28">
        <v>7</v>
      </c>
      <c r="O159" s="29" t="str">
        <f>IF(Table_2021_CIP[[#This Row],[Column2]]&lt;10,"A",IF(Table_2021_CIP[[#This Row],[Column2]]&gt;19,"C","B"))</f>
        <v>A</v>
      </c>
      <c r="P159" t="s">
        <v>488</v>
      </c>
      <c r="Q159" s="30"/>
      <c r="R159" s="30"/>
      <c r="S159" s="30"/>
      <c r="T159" s="30"/>
      <c r="U159" s="30"/>
      <c r="V159" s="30"/>
      <c r="W159" s="30">
        <v>624192</v>
      </c>
      <c r="X159" s="30">
        <v>3162944</v>
      </c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>
        <f>Table_2021_CIP[[#This Row],[TotalYR1]]+S159</f>
        <v>0</v>
      </c>
      <c r="AR159" s="30">
        <f>SUM(Table_2021_CIP[[#This Row],[TotalYR1]:[32-33]])</f>
        <v>3787136</v>
      </c>
      <c r="AS159" s="30">
        <f>SUM(Table_2021_CIP[[#This Row],[TotalYR1]:[47-48]])</f>
        <v>3787136</v>
      </c>
      <c r="AT159" s="24">
        <f>SUM(Table_2021_CIP[[#This Row],[22-23]:[47-48]])</f>
        <v>3787136</v>
      </c>
    </row>
    <row r="160" spans="1:46" ht="12.75" customHeight="1" x14ac:dyDescent="0.25">
      <c r="A160" s="25">
        <f t="shared" si="4"/>
        <v>152</v>
      </c>
      <c r="B160" t="s">
        <v>92</v>
      </c>
      <c r="C160" t="b">
        <v>0</v>
      </c>
      <c r="D160">
        <v>253</v>
      </c>
      <c r="E160">
        <v>130</v>
      </c>
      <c r="F160" t="b">
        <v>0</v>
      </c>
      <c r="G160" t="s">
        <v>107</v>
      </c>
      <c r="H160" t="s">
        <v>489</v>
      </c>
      <c r="I160" s="26" t="s">
        <v>490</v>
      </c>
      <c r="K160" t="s">
        <v>73</v>
      </c>
      <c r="L160" t="s">
        <v>85</v>
      </c>
      <c r="M160" s="27">
        <v>0.22600000000000001</v>
      </c>
      <c r="N160" s="28">
        <v>15</v>
      </c>
      <c r="O160" s="29" t="str">
        <f>IF(Table_2021_CIP[[#This Row],[Column2]]&lt;10,"A",IF(Table_2021_CIP[[#This Row],[Column2]]&gt;19,"C","B"))</f>
        <v>B</v>
      </c>
      <c r="P160" t="s">
        <v>491</v>
      </c>
      <c r="Q160" s="30">
        <v>0</v>
      </c>
      <c r="R160" s="30">
        <v>376639.39199999999</v>
      </c>
      <c r="S160" s="30">
        <f>1081214.816/2</f>
        <v>540607.40800000005</v>
      </c>
      <c r="T160" s="30">
        <v>540607.41</v>
      </c>
      <c r="U160" s="30">
        <v>0</v>
      </c>
      <c r="V160" s="30">
        <v>0</v>
      </c>
      <c r="W160" s="30">
        <v>0</v>
      </c>
      <c r="X160" s="30">
        <v>0</v>
      </c>
      <c r="Y160" s="30">
        <v>0</v>
      </c>
      <c r="Z160" s="30">
        <v>0</v>
      </c>
      <c r="AA160" s="30">
        <v>0</v>
      </c>
      <c r="AB160" s="30">
        <v>0</v>
      </c>
      <c r="AC160" s="30">
        <v>0</v>
      </c>
      <c r="AD160" s="30">
        <v>0</v>
      </c>
      <c r="AE160" s="30">
        <v>0</v>
      </c>
      <c r="AF160" s="30">
        <v>0</v>
      </c>
      <c r="AG160" s="30">
        <v>0</v>
      </c>
      <c r="AH160" s="30">
        <v>0</v>
      </c>
      <c r="AI160" s="30">
        <v>0</v>
      </c>
      <c r="AJ160" s="30">
        <v>0</v>
      </c>
      <c r="AK160" s="30">
        <v>0</v>
      </c>
      <c r="AL160" s="30">
        <v>0</v>
      </c>
      <c r="AM160" s="30">
        <v>0</v>
      </c>
      <c r="AN160" s="30">
        <v>0</v>
      </c>
      <c r="AO160" s="30">
        <v>0</v>
      </c>
      <c r="AP160" s="30">
        <v>0</v>
      </c>
      <c r="AQ160" s="30">
        <f>Table_2021_CIP[[#This Row],[TotalYR1]]+S160</f>
        <v>917246.8</v>
      </c>
      <c r="AR160" s="30">
        <f>SUM(Table_2021_CIP[[#This Row],[TotalYR1]:[32-33]])</f>
        <v>1457854.21</v>
      </c>
      <c r="AS160" s="30">
        <f>SUM(Table_2021_CIP[[#This Row],[TotalYR1]:[47-48]])</f>
        <v>1457854.21</v>
      </c>
      <c r="AT160" s="24">
        <f>SUM(Table_2021_CIP[[#This Row],[22-23]:[47-48]])</f>
        <v>1457854.21</v>
      </c>
    </row>
    <row r="161" spans="1:46" ht="12.75" customHeight="1" x14ac:dyDescent="0.25">
      <c r="A161" s="25">
        <f t="shared" si="4"/>
        <v>153</v>
      </c>
      <c r="B161" t="s">
        <v>101</v>
      </c>
      <c r="C161" t="b">
        <v>0</v>
      </c>
      <c r="D161">
        <v>253</v>
      </c>
      <c r="E161">
        <v>253</v>
      </c>
      <c r="F161" t="b">
        <v>0</v>
      </c>
      <c r="G161" t="s">
        <v>107</v>
      </c>
      <c r="H161" t="s">
        <v>492</v>
      </c>
      <c r="I161" s="26" t="s">
        <v>493</v>
      </c>
      <c r="K161" t="s">
        <v>73</v>
      </c>
      <c r="L161" t="s">
        <v>85</v>
      </c>
      <c r="M161" s="27">
        <v>0</v>
      </c>
      <c r="N161" s="28">
        <v>12</v>
      </c>
      <c r="O161" s="29" t="str">
        <f>IF(Table_2021_CIP[[#This Row],[Column2]]&lt;10,"A",IF(Table_2021_CIP[[#This Row],[Column2]]&gt;19,"C","B"))</f>
        <v>B</v>
      </c>
      <c r="P161" t="s">
        <v>494</v>
      </c>
      <c r="Q161" s="30">
        <v>40000</v>
      </c>
      <c r="R161" s="30">
        <v>0</v>
      </c>
      <c r="S161" s="30">
        <v>0</v>
      </c>
      <c r="T161" s="30"/>
      <c r="U161" s="30"/>
      <c r="V161" s="30"/>
      <c r="W161" s="30">
        <v>120000</v>
      </c>
      <c r="X161" s="30"/>
      <c r="Y161" s="30"/>
      <c r="Z161" s="30"/>
      <c r="AA161" s="30"/>
      <c r="AB161" s="30">
        <v>240000</v>
      </c>
      <c r="AC161" s="30"/>
      <c r="AD161" s="30"/>
      <c r="AE161" s="30"/>
      <c r="AF161" s="30"/>
      <c r="AG161" s="30">
        <v>120000</v>
      </c>
      <c r="AH161" s="30"/>
      <c r="AI161" s="30"/>
      <c r="AJ161" s="30"/>
      <c r="AK161" s="30"/>
      <c r="AL161" s="30">
        <v>240000</v>
      </c>
      <c r="AM161" s="30"/>
      <c r="AN161" s="30"/>
      <c r="AO161" s="30"/>
      <c r="AP161" s="30"/>
      <c r="AQ161" s="30">
        <f>Table_2021_CIP[[#This Row],[TotalYR1]]+S161</f>
        <v>0</v>
      </c>
      <c r="AR161" s="30">
        <f>SUM(Table_2021_CIP[[#This Row],[TotalYR1]:[32-33]])</f>
        <v>120000</v>
      </c>
      <c r="AS161" s="30">
        <f>SUM(Table_2021_CIP[[#This Row],[TotalYR1]:[47-48]])</f>
        <v>720000</v>
      </c>
      <c r="AT161" s="24">
        <f>SUM(Table_2021_CIP[[#This Row],[22-23]:[47-48]])</f>
        <v>760000</v>
      </c>
    </row>
    <row r="162" spans="1:46" ht="12.75" customHeight="1" x14ac:dyDescent="0.25">
      <c r="A162" s="17">
        <f t="shared" si="4"/>
        <v>154</v>
      </c>
      <c r="B162" s="18" t="s">
        <v>101</v>
      </c>
      <c r="C162" s="18" t="b">
        <v>1</v>
      </c>
      <c r="D162" s="18">
        <v>240</v>
      </c>
      <c r="E162" s="18">
        <v>240</v>
      </c>
      <c r="F162" s="18" t="b">
        <v>0</v>
      </c>
      <c r="G162" s="18" t="s">
        <v>107</v>
      </c>
      <c r="H162" s="18" t="s">
        <v>495</v>
      </c>
      <c r="I162" s="19" t="s">
        <v>496</v>
      </c>
      <c r="J162" s="34"/>
      <c r="K162" s="18" t="s">
        <v>73</v>
      </c>
      <c r="L162" s="18" t="s">
        <v>74</v>
      </c>
      <c r="M162" s="20">
        <v>0.22600000000000001</v>
      </c>
      <c r="N162" s="21">
        <v>24</v>
      </c>
      <c r="O162" s="22" t="str">
        <f>IF(Table_2021_CIP[[#This Row],[Column2]]&lt;10,"A",IF(Table_2021_CIP[[#This Row],[Column2]]&gt;19,"C","B"))</f>
        <v>C</v>
      </c>
      <c r="P162" s="18" t="s">
        <v>497</v>
      </c>
      <c r="Q162" s="23">
        <v>65722</v>
      </c>
      <c r="R162" s="23">
        <v>0</v>
      </c>
      <c r="S162" s="23">
        <v>0</v>
      </c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>
        <f>Table_2021_CIP[[#This Row],[TotalYR1]]+S162</f>
        <v>0</v>
      </c>
      <c r="AR162" s="23">
        <f>SUM(Table_2021_CIP[[#This Row],[TotalYR1]:[32-33]])</f>
        <v>0</v>
      </c>
      <c r="AS162" s="23">
        <f>SUM(Table_2021_CIP[[#This Row],[TotalYR1]:[47-48]])</f>
        <v>0</v>
      </c>
      <c r="AT162" s="24">
        <f>SUM(Table_2021_CIP[[#This Row],[22-23]:[47-48]])</f>
        <v>65722</v>
      </c>
    </row>
    <row r="163" spans="1:46" ht="12.75" customHeight="1" x14ac:dyDescent="0.25">
      <c r="A163" s="25">
        <f t="shared" si="4"/>
        <v>155</v>
      </c>
      <c r="B163" t="s">
        <v>81</v>
      </c>
      <c r="C163" t="b">
        <v>0</v>
      </c>
      <c r="D163">
        <v>253</v>
      </c>
      <c r="E163">
        <v>253</v>
      </c>
      <c r="F163" t="b">
        <v>0</v>
      </c>
      <c r="G163" t="s">
        <v>107</v>
      </c>
      <c r="H163" t="s">
        <v>498</v>
      </c>
      <c r="I163" s="26" t="s">
        <v>499</v>
      </c>
      <c r="K163" t="s">
        <v>73</v>
      </c>
      <c r="L163" t="s">
        <v>85</v>
      </c>
      <c r="M163" s="27">
        <v>0.10000000149011599</v>
      </c>
      <c r="N163" s="28">
        <v>16</v>
      </c>
      <c r="O163" s="29" t="str">
        <f>IF(Table_2021_CIP[[#This Row],[Column2]]&lt;10,"A",IF(Table_2021_CIP[[#This Row],[Column2]]&gt;19,"C","B"))</f>
        <v>B</v>
      </c>
      <c r="P163" t="s">
        <v>500</v>
      </c>
      <c r="Q163" s="30">
        <v>8271</v>
      </c>
      <c r="R163" s="30">
        <v>15500</v>
      </c>
      <c r="S163" s="30">
        <v>16200</v>
      </c>
      <c r="T163" s="30">
        <v>15500</v>
      </c>
      <c r="U163" s="30">
        <v>15500</v>
      </c>
      <c r="V163" s="30">
        <v>15500</v>
      </c>
      <c r="W163" s="30">
        <v>15500</v>
      </c>
      <c r="X163" s="30">
        <v>15500</v>
      </c>
      <c r="Y163" s="30">
        <v>15500</v>
      </c>
      <c r="Z163" s="30">
        <v>15500</v>
      </c>
      <c r="AA163" s="30">
        <v>15500</v>
      </c>
      <c r="AB163" s="30">
        <v>15500</v>
      </c>
      <c r="AC163" s="30">
        <v>15500</v>
      </c>
      <c r="AD163" s="30">
        <v>15500</v>
      </c>
      <c r="AE163" s="30">
        <v>15500</v>
      </c>
      <c r="AF163" s="30">
        <v>15500</v>
      </c>
      <c r="AG163" s="30">
        <v>15500</v>
      </c>
      <c r="AH163" s="30">
        <v>15500</v>
      </c>
      <c r="AI163" s="30">
        <v>15500</v>
      </c>
      <c r="AJ163" s="30">
        <v>15500</v>
      </c>
      <c r="AK163" s="30">
        <v>15500</v>
      </c>
      <c r="AL163" s="30">
        <v>15500</v>
      </c>
      <c r="AM163" s="30">
        <v>15500</v>
      </c>
      <c r="AN163" s="30">
        <v>15500</v>
      </c>
      <c r="AO163" s="30">
        <v>15500</v>
      </c>
      <c r="AP163" s="30">
        <v>15500</v>
      </c>
      <c r="AQ163" s="30">
        <f>Table_2021_CIP[[#This Row],[TotalYR1]]+S163</f>
        <v>31700</v>
      </c>
      <c r="AR163" s="30">
        <f>SUM(Table_2021_CIP[[#This Row],[TotalYR1]:[32-33]])</f>
        <v>155700</v>
      </c>
      <c r="AS163" s="30">
        <f>SUM(Table_2021_CIP[[#This Row],[TotalYR1]:[47-48]])</f>
        <v>388200</v>
      </c>
      <c r="AT163" s="24">
        <f>SUM(Table_2021_CIP[[#This Row],[22-23]:[47-48]])</f>
        <v>396471</v>
      </c>
    </row>
    <row r="164" spans="1:46" ht="12.75" customHeight="1" x14ac:dyDescent="0.25">
      <c r="A164" s="25">
        <f t="shared" si="4"/>
        <v>156</v>
      </c>
      <c r="B164" t="s">
        <v>81</v>
      </c>
      <c r="C164" t="b">
        <v>0</v>
      </c>
      <c r="D164">
        <v>253</v>
      </c>
      <c r="E164">
        <v>253</v>
      </c>
      <c r="F164" t="b">
        <v>0</v>
      </c>
      <c r="G164" t="s">
        <v>107</v>
      </c>
      <c r="H164" t="s">
        <v>501</v>
      </c>
      <c r="I164" s="26" t="s">
        <v>502</v>
      </c>
      <c r="K164" t="s">
        <v>73</v>
      </c>
      <c r="L164" t="s">
        <v>85</v>
      </c>
      <c r="M164" s="27">
        <v>0.10000000149011599</v>
      </c>
      <c r="N164" s="28">
        <v>16</v>
      </c>
      <c r="O164" s="29" t="str">
        <f>IF(Table_2021_CIP[[#This Row],[Column2]]&lt;10,"A",IF(Table_2021_CIP[[#This Row],[Column2]]&gt;19,"C","B"))</f>
        <v>B</v>
      </c>
      <c r="P164" t="s">
        <v>503</v>
      </c>
      <c r="Q164" s="30">
        <v>10700</v>
      </c>
      <c r="R164" s="30">
        <v>16500</v>
      </c>
      <c r="S164" s="30">
        <v>17300</v>
      </c>
      <c r="T164" s="30">
        <v>16500</v>
      </c>
      <c r="U164" s="30">
        <v>16500</v>
      </c>
      <c r="V164" s="30">
        <v>16500</v>
      </c>
      <c r="W164" s="30">
        <v>16500</v>
      </c>
      <c r="X164" s="30">
        <v>16500</v>
      </c>
      <c r="Y164" s="30">
        <v>16500</v>
      </c>
      <c r="Z164" s="30">
        <v>16500</v>
      </c>
      <c r="AA164" s="30">
        <v>16500</v>
      </c>
      <c r="AB164" s="30">
        <v>16500</v>
      </c>
      <c r="AC164" s="30">
        <v>16500</v>
      </c>
      <c r="AD164" s="30">
        <v>16500</v>
      </c>
      <c r="AE164" s="30">
        <v>16500</v>
      </c>
      <c r="AF164" s="30">
        <v>16500</v>
      </c>
      <c r="AG164" s="30">
        <v>16500</v>
      </c>
      <c r="AH164" s="30">
        <v>16500</v>
      </c>
      <c r="AI164" s="30">
        <v>16500</v>
      </c>
      <c r="AJ164" s="30">
        <v>16500</v>
      </c>
      <c r="AK164" s="30">
        <v>16500</v>
      </c>
      <c r="AL164" s="30">
        <v>16500</v>
      </c>
      <c r="AM164" s="30">
        <v>16500</v>
      </c>
      <c r="AN164" s="30">
        <v>16500</v>
      </c>
      <c r="AO164" s="30">
        <v>16500</v>
      </c>
      <c r="AP164" s="30">
        <v>16500</v>
      </c>
      <c r="AQ164" s="30">
        <f>Table_2021_CIP[[#This Row],[TotalYR1]]+S164</f>
        <v>33800</v>
      </c>
      <c r="AR164" s="30">
        <f>SUM(Table_2021_CIP[[#This Row],[TotalYR1]:[32-33]])</f>
        <v>165800</v>
      </c>
      <c r="AS164" s="30">
        <f>SUM(Table_2021_CIP[[#This Row],[TotalYR1]:[47-48]])</f>
        <v>413300</v>
      </c>
      <c r="AT164" s="24">
        <f>SUM(Table_2021_CIP[[#This Row],[22-23]:[47-48]])</f>
        <v>424000</v>
      </c>
    </row>
    <row r="165" spans="1:46" ht="12.75" customHeight="1" x14ac:dyDescent="0.25">
      <c r="A165" s="25">
        <f t="shared" si="4"/>
        <v>157</v>
      </c>
      <c r="B165" t="s">
        <v>81</v>
      </c>
      <c r="C165" t="b">
        <v>0</v>
      </c>
      <c r="D165">
        <v>253</v>
      </c>
      <c r="E165">
        <v>251</v>
      </c>
      <c r="F165" t="b">
        <v>0</v>
      </c>
      <c r="G165" t="s">
        <v>107</v>
      </c>
      <c r="H165" t="s">
        <v>504</v>
      </c>
      <c r="I165" s="26" t="s">
        <v>505</v>
      </c>
      <c r="K165" t="s">
        <v>73</v>
      </c>
      <c r="L165" t="s">
        <v>85</v>
      </c>
      <c r="M165" s="27">
        <v>0</v>
      </c>
      <c r="N165" s="28">
        <v>16</v>
      </c>
      <c r="O165" s="29" t="str">
        <f>IF(Table_2021_CIP[[#This Row],[Column2]]&lt;10,"A",IF(Table_2021_CIP[[#This Row],[Column2]]&gt;19,"C","B"))</f>
        <v>B</v>
      </c>
      <c r="P165" t="s">
        <v>506</v>
      </c>
      <c r="Q165" s="30">
        <v>50000</v>
      </c>
      <c r="R165" s="30">
        <v>134000</v>
      </c>
      <c r="S165" s="30">
        <v>141000</v>
      </c>
      <c r="T165" s="30">
        <v>36050</v>
      </c>
      <c r="U165" s="30">
        <v>36050</v>
      </c>
      <c r="V165" s="30">
        <v>36050</v>
      </c>
      <c r="W165" s="30">
        <v>36050</v>
      </c>
      <c r="X165" s="30">
        <v>36050</v>
      </c>
      <c r="Y165" s="30">
        <v>36050</v>
      </c>
      <c r="Z165" s="30">
        <v>36050</v>
      </c>
      <c r="AA165" s="30">
        <v>36050</v>
      </c>
      <c r="AB165" s="30">
        <v>36050</v>
      </c>
      <c r="AC165" s="30">
        <v>36050</v>
      </c>
      <c r="AD165" s="30">
        <v>36050</v>
      </c>
      <c r="AE165" s="30">
        <v>36050</v>
      </c>
      <c r="AF165" s="30">
        <v>36050</v>
      </c>
      <c r="AG165" s="30">
        <v>36050</v>
      </c>
      <c r="AH165" s="30">
        <v>36050</v>
      </c>
      <c r="AI165" s="30">
        <v>36050</v>
      </c>
      <c r="AJ165" s="30">
        <v>36050</v>
      </c>
      <c r="AK165" s="30">
        <v>36050</v>
      </c>
      <c r="AL165" s="30">
        <v>36050</v>
      </c>
      <c r="AM165" s="30">
        <v>36050</v>
      </c>
      <c r="AN165" s="30">
        <v>36050</v>
      </c>
      <c r="AO165" s="30">
        <v>36050</v>
      </c>
      <c r="AP165" s="30">
        <v>36050</v>
      </c>
      <c r="AQ165" s="30">
        <f>Table_2021_CIP[[#This Row],[TotalYR1]]+S165</f>
        <v>275000</v>
      </c>
      <c r="AR165" s="30">
        <f>SUM(Table_2021_CIP[[#This Row],[TotalYR1]:[32-33]])</f>
        <v>563400</v>
      </c>
      <c r="AS165" s="30">
        <f>SUM(Table_2021_CIP[[#This Row],[TotalYR1]:[47-48]])</f>
        <v>1104150</v>
      </c>
      <c r="AT165" s="24">
        <f>SUM(Table_2021_CIP[[#This Row],[22-23]:[47-48]])</f>
        <v>1154150</v>
      </c>
    </row>
    <row r="166" spans="1:46" ht="12.75" customHeight="1" x14ac:dyDescent="0.25">
      <c r="A166" s="25">
        <f t="shared" si="4"/>
        <v>158</v>
      </c>
      <c r="B166" t="s">
        <v>81</v>
      </c>
      <c r="C166" t="b">
        <v>0</v>
      </c>
      <c r="D166">
        <v>220</v>
      </c>
      <c r="E166">
        <v>220</v>
      </c>
      <c r="F166" t="b">
        <v>0</v>
      </c>
      <c r="G166" t="s">
        <v>107</v>
      </c>
      <c r="H166" t="s">
        <v>507</v>
      </c>
      <c r="I166" s="26" t="s">
        <v>508</v>
      </c>
      <c r="K166" t="s">
        <v>73</v>
      </c>
      <c r="L166" t="s">
        <v>85</v>
      </c>
      <c r="M166" s="27">
        <v>0.10000000149011599</v>
      </c>
      <c r="N166" s="28">
        <v>2</v>
      </c>
      <c r="O166" s="29" t="str">
        <f>IF(Table_2021_CIP[[#This Row],[Column2]]&lt;10,"A",IF(Table_2021_CIP[[#This Row],[Column2]]&gt;19,"C","B"))</f>
        <v>A</v>
      </c>
      <c r="P166" t="s">
        <v>509</v>
      </c>
      <c r="Q166" s="30">
        <v>131552</v>
      </c>
      <c r="R166" s="30">
        <v>131522</v>
      </c>
      <c r="S166" s="30">
        <v>131552</v>
      </c>
      <c r="T166" s="30">
        <v>131552</v>
      </c>
      <c r="U166" s="30">
        <v>131552</v>
      </c>
      <c r="V166" s="30">
        <v>131552</v>
      </c>
      <c r="W166" s="30">
        <v>131552</v>
      </c>
      <c r="X166" s="30">
        <v>131552</v>
      </c>
      <c r="Y166" s="30">
        <v>131552</v>
      </c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>
        <f>Table_2021_CIP[[#This Row],[TotalYR1]]+S166</f>
        <v>263074</v>
      </c>
      <c r="AR166" s="30">
        <f>SUM(Table_2021_CIP[[#This Row],[TotalYR1]:[32-33]])</f>
        <v>1052386</v>
      </c>
      <c r="AS166" s="30">
        <f>SUM(Table_2021_CIP[[#This Row],[TotalYR1]:[47-48]])</f>
        <v>1052386</v>
      </c>
      <c r="AT166" s="24">
        <f>SUM(Table_2021_CIP[[#This Row],[22-23]:[47-48]])</f>
        <v>1183938</v>
      </c>
    </row>
    <row r="167" spans="1:46" ht="12.75" customHeight="1" x14ac:dyDescent="0.25">
      <c r="A167" s="25">
        <f t="shared" si="4"/>
        <v>159</v>
      </c>
      <c r="B167" t="s">
        <v>81</v>
      </c>
      <c r="C167" t="b">
        <v>0</v>
      </c>
      <c r="D167">
        <v>240</v>
      </c>
      <c r="E167">
        <v>130</v>
      </c>
      <c r="F167" t="b">
        <v>0</v>
      </c>
      <c r="G167" t="s">
        <v>107</v>
      </c>
      <c r="H167" t="s">
        <v>510</v>
      </c>
      <c r="I167" s="26" t="s">
        <v>511</v>
      </c>
      <c r="K167" t="s">
        <v>73</v>
      </c>
      <c r="L167" t="s">
        <v>85</v>
      </c>
      <c r="M167" s="27">
        <v>0</v>
      </c>
      <c r="N167" s="28">
        <v>13</v>
      </c>
      <c r="O167" s="29" t="str">
        <f>IF(Table_2021_CIP[[#This Row],[Column2]]&lt;10,"A",IF(Table_2021_CIP[[#This Row],[Column2]]&gt;19,"C","B"))</f>
        <v>B</v>
      </c>
      <c r="P167" t="s">
        <v>512</v>
      </c>
      <c r="Q167" s="30"/>
      <c r="R167" s="30">
        <v>0</v>
      </c>
      <c r="S167" s="30"/>
      <c r="T167" s="30"/>
      <c r="U167" s="30"/>
      <c r="V167" s="30">
        <v>53120</v>
      </c>
      <c r="W167" s="30">
        <v>200000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>
        <f>Table_2021_CIP[[#This Row],[TotalYR1]]+S167</f>
        <v>0</v>
      </c>
      <c r="AR167" s="30">
        <f>SUM(Table_2021_CIP[[#This Row],[TotalYR1]:[32-33]])</f>
        <v>253120</v>
      </c>
      <c r="AS167" s="30">
        <f>SUM(Table_2021_CIP[[#This Row],[TotalYR1]:[47-48]])</f>
        <v>253120</v>
      </c>
      <c r="AT167" s="24">
        <f>SUM(Table_2021_CIP[[#This Row],[22-23]:[47-48]])</f>
        <v>253120</v>
      </c>
    </row>
    <row r="168" spans="1:46" ht="12.75" customHeight="1" x14ac:dyDescent="0.25">
      <c r="A168" s="25">
        <f t="shared" si="4"/>
        <v>160</v>
      </c>
      <c r="B168" t="s">
        <v>101</v>
      </c>
      <c r="C168" t="b">
        <v>0</v>
      </c>
      <c r="D168">
        <v>240</v>
      </c>
      <c r="E168">
        <v>130</v>
      </c>
      <c r="F168" t="b">
        <v>0</v>
      </c>
      <c r="G168" t="s">
        <v>107</v>
      </c>
      <c r="H168" t="s">
        <v>166</v>
      </c>
      <c r="I168" s="26" t="s">
        <v>513</v>
      </c>
      <c r="K168" t="s">
        <v>73</v>
      </c>
      <c r="L168" t="s">
        <v>85</v>
      </c>
      <c r="M168" s="27">
        <v>0</v>
      </c>
      <c r="N168" s="28">
        <v>19</v>
      </c>
      <c r="O168" s="29" t="str">
        <f>IF(Table_2021_CIP[[#This Row],[Column2]]&lt;10,"A",IF(Table_2021_CIP[[#This Row],[Column2]]&gt;19,"C","B"))</f>
        <v>B</v>
      </c>
      <c r="P168" t="s">
        <v>514</v>
      </c>
      <c r="Q168" s="30"/>
      <c r="R168" s="30">
        <v>0</v>
      </c>
      <c r="S168" s="30">
        <v>0</v>
      </c>
      <c r="T168" s="30"/>
      <c r="U168" s="30">
        <v>254000</v>
      </c>
      <c r="V168" s="30">
        <v>856000</v>
      </c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>
        <f>Table_2021_CIP[[#This Row],[TotalYR1]]+S168</f>
        <v>0</v>
      </c>
      <c r="AR168" s="30">
        <f>SUM(Table_2021_CIP[[#This Row],[TotalYR1]:[32-33]])</f>
        <v>1110000</v>
      </c>
      <c r="AS168" s="30">
        <f>SUM(Table_2021_CIP[[#This Row],[TotalYR1]:[47-48]])</f>
        <v>1110000</v>
      </c>
      <c r="AT168" s="24">
        <f>SUM(Table_2021_CIP[[#This Row],[22-23]:[47-48]])</f>
        <v>1110000</v>
      </c>
    </row>
    <row r="169" spans="1:46" ht="12.75" customHeight="1" x14ac:dyDescent="0.25">
      <c r="A169" s="25">
        <f t="shared" si="4"/>
        <v>161</v>
      </c>
      <c r="B169" t="s">
        <v>101</v>
      </c>
      <c r="C169" t="b">
        <v>0</v>
      </c>
      <c r="D169">
        <v>240</v>
      </c>
      <c r="E169">
        <v>130</v>
      </c>
      <c r="F169" t="b">
        <v>0</v>
      </c>
      <c r="G169" t="s">
        <v>93</v>
      </c>
      <c r="H169" t="s">
        <v>515</v>
      </c>
      <c r="I169" s="26" t="s">
        <v>516</v>
      </c>
      <c r="J169"/>
      <c r="K169" t="s">
        <v>73</v>
      </c>
      <c r="L169" t="s">
        <v>85</v>
      </c>
      <c r="M169" s="27">
        <v>0.18999999761581399</v>
      </c>
      <c r="N169" s="28">
        <v>2</v>
      </c>
      <c r="O169" s="29" t="str">
        <f>IF(Table_2021_CIP[[#This Row],[Column2]]&lt;10,"A",IF(Table_2021_CIP[[#This Row],[Column2]]&gt;19,"C","B"))</f>
        <v>A</v>
      </c>
      <c r="P169" t="s">
        <v>517</v>
      </c>
      <c r="Q169" s="30">
        <v>1500000</v>
      </c>
      <c r="R169" s="30">
        <f>14301520-4000000</f>
        <v>10301520</v>
      </c>
      <c r="S169" s="30">
        <f>4417792+4000000</f>
        <v>8417792</v>
      </c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>
        <f>Table_2021_CIP[[#This Row],[TotalYR1]]+S169</f>
        <v>18719312</v>
      </c>
      <c r="AR169" s="30">
        <f>SUM(Table_2021_CIP[[#This Row],[TotalYR1]:[32-33]])</f>
        <v>18719312</v>
      </c>
      <c r="AS169" s="30">
        <f>SUM(Table_2021_CIP[[#This Row],[TotalYR1]:[47-48]])</f>
        <v>18719312</v>
      </c>
      <c r="AT169" s="24">
        <f>SUM(Table_2021_CIP[[#This Row],[22-23]:[47-48]])</f>
        <v>20219312</v>
      </c>
    </row>
    <row r="170" spans="1:46" ht="12.75" customHeight="1" x14ac:dyDescent="0.25">
      <c r="A170" s="25">
        <f t="shared" si="4"/>
        <v>162</v>
      </c>
      <c r="B170" t="s">
        <v>101</v>
      </c>
      <c r="C170" t="b">
        <v>0</v>
      </c>
      <c r="D170">
        <v>240</v>
      </c>
      <c r="E170">
        <v>130</v>
      </c>
      <c r="F170" t="b">
        <v>0</v>
      </c>
      <c r="G170" t="s">
        <v>93</v>
      </c>
      <c r="H170" t="s">
        <v>518</v>
      </c>
      <c r="I170" s="26" t="s">
        <v>519</v>
      </c>
      <c r="J170"/>
      <c r="K170" t="s">
        <v>73</v>
      </c>
      <c r="L170" t="s">
        <v>85</v>
      </c>
      <c r="M170" s="27">
        <v>0.22600000000000001</v>
      </c>
      <c r="N170" s="28">
        <v>2</v>
      </c>
      <c r="O170" s="29" t="str">
        <f>IF(Table_2021_CIP[[#This Row],[Column2]]&lt;10,"A",IF(Table_2021_CIP[[#This Row],[Column2]]&gt;19,"C","B"))</f>
        <v>A</v>
      </c>
      <c r="P170" t="s">
        <v>520</v>
      </c>
      <c r="Q170" s="30"/>
      <c r="R170" s="30">
        <v>0</v>
      </c>
      <c r="S170" s="30">
        <v>0</v>
      </c>
      <c r="T170" s="30">
        <v>100000</v>
      </c>
      <c r="U170" s="30">
        <v>473000</v>
      </c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>
        <f>Table_2021_CIP[[#This Row],[TotalYR1]]+S170</f>
        <v>0</v>
      </c>
      <c r="AR170" s="30">
        <f>SUM(Table_2021_CIP[[#This Row],[TotalYR1]:[32-33]])</f>
        <v>573000</v>
      </c>
      <c r="AS170" s="30">
        <f>SUM(Table_2021_CIP[[#This Row],[TotalYR1]:[47-48]])</f>
        <v>573000</v>
      </c>
      <c r="AT170" s="24">
        <f>SUM(Table_2021_CIP[[#This Row],[22-23]:[47-48]])</f>
        <v>573000</v>
      </c>
    </row>
    <row r="171" spans="1:46" ht="12.75" customHeight="1" x14ac:dyDescent="0.25">
      <c r="A171" s="17">
        <f t="shared" si="4"/>
        <v>163</v>
      </c>
      <c r="B171" s="18"/>
      <c r="C171" s="18" t="b">
        <v>1</v>
      </c>
      <c r="D171" s="18">
        <v>240</v>
      </c>
      <c r="E171" s="18">
        <v>240</v>
      </c>
      <c r="F171" s="18" t="b">
        <v>0</v>
      </c>
      <c r="G171" s="18" t="s">
        <v>93</v>
      </c>
      <c r="H171" s="18" t="s">
        <v>515</v>
      </c>
      <c r="I171" s="19" t="s">
        <v>521</v>
      </c>
      <c r="J171" s="18"/>
      <c r="K171" s="18" t="s">
        <v>73</v>
      </c>
      <c r="L171" s="18" t="s">
        <v>74</v>
      </c>
      <c r="M171" s="20">
        <v>0</v>
      </c>
      <c r="N171" s="21">
        <v>2</v>
      </c>
      <c r="O171" s="22" t="str">
        <f>IF(Table_2021_CIP[[#This Row],[Column2]]&lt;10,"A",IF(Table_2021_CIP[[#This Row],[Column2]]&gt;19,"C","B"))</f>
        <v>A</v>
      </c>
      <c r="P171" s="18" t="s">
        <v>522</v>
      </c>
      <c r="Q171" s="23">
        <v>0</v>
      </c>
      <c r="R171" s="23">
        <v>0</v>
      </c>
      <c r="S171" s="23">
        <v>0</v>
      </c>
      <c r="T171" s="23"/>
      <c r="U171" s="23"/>
      <c r="V171" s="23">
        <v>80000</v>
      </c>
      <c r="W171" s="23">
        <v>80000</v>
      </c>
      <c r="X171" s="23"/>
      <c r="Y171" s="23"/>
      <c r="Z171" s="23"/>
      <c r="AA171" s="23">
        <v>80000</v>
      </c>
      <c r="AB171" s="23"/>
      <c r="AC171" s="23"/>
      <c r="AD171" s="23"/>
      <c r="AE171" s="23"/>
      <c r="AF171" s="23">
        <v>80000</v>
      </c>
      <c r="AG171" s="23"/>
      <c r="AH171" s="23"/>
      <c r="AI171" s="23"/>
      <c r="AJ171" s="23"/>
      <c r="AK171" s="23">
        <v>80000</v>
      </c>
      <c r="AL171" s="23"/>
      <c r="AM171" s="23"/>
      <c r="AN171" s="23"/>
      <c r="AO171" s="23"/>
      <c r="AP171" s="23">
        <v>80000</v>
      </c>
      <c r="AQ171" s="23">
        <f>Table_2021_CIP[[#This Row],[TotalYR1]]+S171</f>
        <v>0</v>
      </c>
      <c r="AR171" s="23">
        <f>SUM(Table_2021_CIP[[#This Row],[TotalYR1]:[32-33]])</f>
        <v>240000</v>
      </c>
      <c r="AS171" s="23">
        <f>SUM(Table_2021_CIP[[#This Row],[TotalYR1]:[47-48]])</f>
        <v>480000</v>
      </c>
      <c r="AT171" s="24">
        <f>SUM(Table_2021_CIP[[#This Row],[22-23]:[47-48]])</f>
        <v>480000</v>
      </c>
    </row>
    <row r="172" spans="1:46" ht="12.75" customHeight="1" x14ac:dyDescent="0.25">
      <c r="A172" s="25">
        <f t="shared" si="4"/>
        <v>164</v>
      </c>
      <c r="B172" t="s">
        <v>70</v>
      </c>
      <c r="C172" t="b">
        <v>0</v>
      </c>
      <c r="D172">
        <v>240</v>
      </c>
      <c r="E172">
        <v>240</v>
      </c>
      <c r="F172" t="b">
        <v>0</v>
      </c>
      <c r="G172" t="s">
        <v>93</v>
      </c>
      <c r="H172" t="s">
        <v>515</v>
      </c>
      <c r="I172" s="26" t="s">
        <v>523</v>
      </c>
      <c r="J172"/>
      <c r="K172" t="s">
        <v>73</v>
      </c>
      <c r="L172" t="s">
        <v>85</v>
      </c>
      <c r="M172" s="27">
        <v>0</v>
      </c>
      <c r="N172" s="28">
        <v>2</v>
      </c>
      <c r="O172" s="29" t="str">
        <f>IF(Table_2021_CIP[[#This Row],[Column2]]&lt;10,"A",IF(Table_2021_CIP[[#This Row],[Column2]]&gt;19,"C","B"))</f>
        <v>A</v>
      </c>
      <c r="P172" t="s">
        <v>524</v>
      </c>
      <c r="Q172" s="30"/>
      <c r="R172" s="30">
        <v>102992</v>
      </c>
      <c r="S172" s="30">
        <v>102992</v>
      </c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>
        <f>Table_2021_CIP[[#This Row],[TotalYR1]]+S172</f>
        <v>205984</v>
      </c>
      <c r="AR172" s="30">
        <f>SUM(Table_2021_CIP[[#This Row],[TotalYR1]:[32-33]])</f>
        <v>205984</v>
      </c>
      <c r="AS172" s="30">
        <f>SUM(Table_2021_CIP[[#This Row],[TotalYR1]:[47-48]])</f>
        <v>205984</v>
      </c>
      <c r="AT172" s="24">
        <f>SUM(Table_2021_CIP[[#This Row],[22-23]:[47-48]])</f>
        <v>205984</v>
      </c>
    </row>
    <row r="173" spans="1:46" ht="12.75" customHeight="1" x14ac:dyDescent="0.25">
      <c r="A173" s="25">
        <f t="shared" si="4"/>
        <v>165</v>
      </c>
      <c r="B173" t="s">
        <v>180</v>
      </c>
      <c r="C173" t="b">
        <v>0</v>
      </c>
      <c r="D173">
        <v>253</v>
      </c>
      <c r="E173">
        <v>130</v>
      </c>
      <c r="F173" t="b">
        <v>0</v>
      </c>
      <c r="G173" t="s">
        <v>107</v>
      </c>
      <c r="H173" t="s">
        <v>525</v>
      </c>
      <c r="I173" s="26" t="s">
        <v>526</v>
      </c>
      <c r="J173"/>
      <c r="K173" t="s">
        <v>73</v>
      </c>
      <c r="L173" t="s">
        <v>85</v>
      </c>
      <c r="M173" s="27">
        <v>0.22600000000000001</v>
      </c>
      <c r="N173" s="28">
        <v>9</v>
      </c>
      <c r="O173" s="29" t="str">
        <f>IF(Table_2021_CIP[[#This Row],[Column2]]&lt;10,"A",IF(Table_2021_CIP[[#This Row],[Column2]]&gt;19,"C","B"))</f>
        <v>A</v>
      </c>
      <c r="P173" t="s">
        <v>527</v>
      </c>
      <c r="Q173" s="30">
        <v>0</v>
      </c>
      <c r="R173" s="30">
        <v>0</v>
      </c>
      <c r="S173" s="30">
        <v>0</v>
      </c>
      <c r="T173" s="30">
        <v>210000</v>
      </c>
      <c r="U173" s="30">
        <v>450000</v>
      </c>
      <c r="V173" s="30">
        <v>1440000</v>
      </c>
      <c r="W173" s="30">
        <v>0</v>
      </c>
      <c r="X173" s="30">
        <v>0</v>
      </c>
      <c r="Y173" s="30">
        <v>0</v>
      </c>
      <c r="Z173" s="30">
        <v>0</v>
      </c>
      <c r="AA173" s="30">
        <v>0</v>
      </c>
      <c r="AB173" s="30">
        <v>0</v>
      </c>
      <c r="AC173" s="30">
        <v>0</v>
      </c>
      <c r="AD173" s="30">
        <v>0</v>
      </c>
      <c r="AE173" s="30">
        <v>0</v>
      </c>
      <c r="AF173" s="30">
        <v>0</v>
      </c>
      <c r="AG173" s="30">
        <v>0</v>
      </c>
      <c r="AH173" s="30">
        <v>0</v>
      </c>
      <c r="AI173" s="30">
        <v>0</v>
      </c>
      <c r="AJ173" s="30">
        <v>0</v>
      </c>
      <c r="AK173" s="30">
        <v>0</v>
      </c>
      <c r="AL173" s="30">
        <v>0</v>
      </c>
      <c r="AM173" s="30">
        <v>0</v>
      </c>
      <c r="AN173" s="30">
        <v>0</v>
      </c>
      <c r="AO173" s="30">
        <v>0</v>
      </c>
      <c r="AP173" s="30">
        <v>0</v>
      </c>
      <c r="AQ173" s="30">
        <f>Table_2021_CIP[[#This Row],[TotalYR1]]+S173</f>
        <v>0</v>
      </c>
      <c r="AR173" s="30">
        <f>SUM(Table_2021_CIP[[#This Row],[TotalYR1]:[32-33]])</f>
        <v>2100000</v>
      </c>
      <c r="AS173" s="30">
        <f>SUM(Table_2021_CIP[[#This Row],[TotalYR1]:[47-48]])</f>
        <v>2100000</v>
      </c>
      <c r="AT173" s="24">
        <f>SUM(Table_2021_CIP[[#This Row],[22-23]:[47-48]])</f>
        <v>2100000</v>
      </c>
    </row>
    <row r="174" spans="1:46" ht="12.75" customHeight="1" x14ac:dyDescent="0.25">
      <c r="A174" s="25">
        <f t="shared" si="4"/>
        <v>166</v>
      </c>
      <c r="B174" t="s">
        <v>81</v>
      </c>
      <c r="C174" t="b">
        <v>0</v>
      </c>
      <c r="D174">
        <v>253</v>
      </c>
      <c r="E174">
        <v>130</v>
      </c>
      <c r="F174" t="b">
        <v>0</v>
      </c>
      <c r="G174" t="s">
        <v>107</v>
      </c>
      <c r="H174" t="s">
        <v>528</v>
      </c>
      <c r="I174" s="26" t="s">
        <v>529</v>
      </c>
      <c r="J174"/>
      <c r="K174" t="s">
        <v>73</v>
      </c>
      <c r="L174" t="s">
        <v>85</v>
      </c>
      <c r="M174" s="27">
        <v>0.22600000000000001</v>
      </c>
      <c r="N174" s="28">
        <v>16</v>
      </c>
      <c r="O174" s="29" t="str">
        <f>IF(Table_2021_CIP[[#This Row],[Column2]]&lt;10,"A",IF(Table_2021_CIP[[#This Row],[Column2]]&gt;19,"C","B"))</f>
        <v>B</v>
      </c>
      <c r="P174" t="s">
        <v>530</v>
      </c>
      <c r="Q174" s="30"/>
      <c r="R174" s="30"/>
      <c r="S174" s="30">
        <v>510206.05080000003</v>
      </c>
      <c r="T174" s="30">
        <f>1385020.8516/2</f>
        <v>692510.42579999997</v>
      </c>
      <c r="U174" s="30">
        <v>692510.43</v>
      </c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>
        <f>Table_2021_CIP[[#This Row],[TotalYR1]]+S174</f>
        <v>510206.05080000003</v>
      </c>
      <c r="AR174" s="30">
        <f>SUM(Table_2021_CIP[[#This Row],[TotalYR1]:[32-33]])</f>
        <v>1895226.9065999999</v>
      </c>
      <c r="AS174" s="30">
        <f>SUM(Table_2021_CIP[[#This Row],[TotalYR1]:[47-48]])</f>
        <v>1895226.9065999999</v>
      </c>
      <c r="AT174" s="24">
        <f>SUM(Table_2021_CIP[[#This Row],[22-23]:[47-48]])</f>
        <v>1895226.9065999999</v>
      </c>
    </row>
    <row r="175" spans="1:46" ht="12.75" customHeight="1" x14ac:dyDescent="0.25">
      <c r="A175" s="25">
        <f t="shared" si="4"/>
        <v>167</v>
      </c>
      <c r="B175" t="s">
        <v>81</v>
      </c>
      <c r="C175" t="b">
        <v>0</v>
      </c>
      <c r="D175">
        <v>253</v>
      </c>
      <c r="E175">
        <v>130</v>
      </c>
      <c r="F175" t="b">
        <v>0</v>
      </c>
      <c r="G175" t="s">
        <v>107</v>
      </c>
      <c r="H175" t="s">
        <v>531</v>
      </c>
      <c r="I175" s="26" t="s">
        <v>532</v>
      </c>
      <c r="J175"/>
      <c r="K175" t="s">
        <v>73</v>
      </c>
      <c r="L175" t="s">
        <v>85</v>
      </c>
      <c r="M175" s="27">
        <v>0.22600000000000001</v>
      </c>
      <c r="N175" s="28">
        <v>15</v>
      </c>
      <c r="O175" s="29" t="str">
        <f>IF(Table_2021_CIP[[#This Row],[Column2]]&lt;10,"A",IF(Table_2021_CIP[[#This Row],[Column2]]&gt;19,"C","B"))</f>
        <v>B</v>
      </c>
      <c r="P175" t="s">
        <v>533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0">
        <v>0</v>
      </c>
      <c r="X175" s="30">
        <v>160000</v>
      </c>
      <c r="Y175" s="30">
        <v>372000</v>
      </c>
      <c r="Z175" s="30">
        <v>0</v>
      </c>
      <c r="AA175" s="30">
        <v>0</v>
      </c>
      <c r="AB175" s="30">
        <v>0</v>
      </c>
      <c r="AC175" s="30">
        <v>0</v>
      </c>
      <c r="AD175" s="30">
        <v>0</v>
      </c>
      <c r="AE175" s="30">
        <v>0</v>
      </c>
      <c r="AF175" s="30">
        <v>0</v>
      </c>
      <c r="AG175" s="30">
        <v>0</v>
      </c>
      <c r="AH175" s="30">
        <v>0</v>
      </c>
      <c r="AI175" s="30">
        <v>0</v>
      </c>
      <c r="AJ175" s="30">
        <v>0</v>
      </c>
      <c r="AK175" s="30">
        <v>0</v>
      </c>
      <c r="AL175" s="30">
        <v>0</v>
      </c>
      <c r="AM175" s="30">
        <v>0</v>
      </c>
      <c r="AN175" s="30">
        <v>0</v>
      </c>
      <c r="AO175" s="30">
        <v>0</v>
      </c>
      <c r="AP175" s="30">
        <v>0</v>
      </c>
      <c r="AQ175" s="30">
        <f>Table_2021_CIP[[#This Row],[TotalYR1]]+S175</f>
        <v>0</v>
      </c>
      <c r="AR175" s="30">
        <f>SUM(Table_2021_CIP[[#This Row],[TotalYR1]:[32-33]])</f>
        <v>532000</v>
      </c>
      <c r="AS175" s="30">
        <f>SUM(Table_2021_CIP[[#This Row],[TotalYR1]:[47-48]])</f>
        <v>532000</v>
      </c>
      <c r="AT175" s="24">
        <f>SUM(Table_2021_CIP[[#This Row],[22-23]:[47-48]])</f>
        <v>532000</v>
      </c>
    </row>
    <row r="176" spans="1:46" ht="12.75" customHeight="1" x14ac:dyDescent="0.25">
      <c r="A176" s="25">
        <f t="shared" si="4"/>
        <v>168</v>
      </c>
      <c r="B176" t="s">
        <v>81</v>
      </c>
      <c r="C176" t="b">
        <v>0</v>
      </c>
      <c r="D176">
        <v>253</v>
      </c>
      <c r="E176">
        <v>130</v>
      </c>
      <c r="F176" t="b">
        <v>0</v>
      </c>
      <c r="G176" t="s">
        <v>107</v>
      </c>
      <c r="H176" t="s">
        <v>534</v>
      </c>
      <c r="I176" s="26" t="s">
        <v>535</v>
      </c>
      <c r="J176"/>
      <c r="K176" t="s">
        <v>73</v>
      </c>
      <c r="L176" t="s">
        <v>85</v>
      </c>
      <c r="M176" s="27">
        <v>0.22600000000000001</v>
      </c>
      <c r="N176" s="28">
        <v>14</v>
      </c>
      <c r="O176" s="29" t="str">
        <f>IF(Table_2021_CIP[[#This Row],[Column2]]&lt;10,"A",IF(Table_2021_CIP[[#This Row],[Column2]]&gt;19,"C","B"))</f>
        <v>B</v>
      </c>
      <c r="P176" t="s">
        <v>536</v>
      </c>
      <c r="Q176" s="30">
        <v>0</v>
      </c>
      <c r="R176" s="30">
        <v>0</v>
      </c>
      <c r="S176" s="30">
        <v>0</v>
      </c>
      <c r="T176" s="30">
        <v>0</v>
      </c>
      <c r="U176" s="30">
        <v>0</v>
      </c>
      <c r="V176" s="30">
        <v>0</v>
      </c>
      <c r="W176" s="30">
        <v>0</v>
      </c>
      <c r="X176" s="30">
        <v>153000</v>
      </c>
      <c r="Y176" s="30">
        <v>358000</v>
      </c>
      <c r="Z176" s="30">
        <v>0</v>
      </c>
      <c r="AA176" s="30">
        <v>0</v>
      </c>
      <c r="AB176" s="30">
        <v>0</v>
      </c>
      <c r="AC176" s="30">
        <v>0</v>
      </c>
      <c r="AD176" s="30">
        <v>0</v>
      </c>
      <c r="AE176" s="30">
        <v>0</v>
      </c>
      <c r="AF176" s="30">
        <v>0</v>
      </c>
      <c r="AG176" s="30">
        <v>0</v>
      </c>
      <c r="AH176" s="30">
        <v>0</v>
      </c>
      <c r="AI176" s="30">
        <v>0</v>
      </c>
      <c r="AJ176" s="30">
        <v>0</v>
      </c>
      <c r="AK176" s="30">
        <v>0</v>
      </c>
      <c r="AL176" s="30">
        <v>0</v>
      </c>
      <c r="AM176" s="30">
        <v>0</v>
      </c>
      <c r="AN176" s="30">
        <v>0</v>
      </c>
      <c r="AO176" s="30">
        <v>0</v>
      </c>
      <c r="AP176" s="30">
        <v>0</v>
      </c>
      <c r="AQ176" s="30">
        <f>Table_2021_CIP[[#This Row],[TotalYR1]]+S176</f>
        <v>0</v>
      </c>
      <c r="AR176" s="30">
        <f>SUM(Table_2021_CIP[[#This Row],[TotalYR1]:[32-33]])</f>
        <v>511000</v>
      </c>
      <c r="AS176" s="30">
        <f>SUM(Table_2021_CIP[[#This Row],[TotalYR1]:[47-48]])</f>
        <v>511000</v>
      </c>
      <c r="AT176" s="24">
        <f>SUM(Table_2021_CIP[[#This Row],[22-23]:[47-48]])</f>
        <v>511000</v>
      </c>
    </row>
    <row r="177" spans="1:46" ht="12.75" customHeight="1" x14ac:dyDescent="0.25">
      <c r="A177" s="25">
        <f t="shared" si="4"/>
        <v>169</v>
      </c>
      <c r="B177" t="s">
        <v>81</v>
      </c>
      <c r="C177" t="b">
        <v>0</v>
      </c>
      <c r="D177">
        <v>253</v>
      </c>
      <c r="E177">
        <v>130</v>
      </c>
      <c r="F177" t="b">
        <v>0</v>
      </c>
      <c r="G177" t="s">
        <v>107</v>
      </c>
      <c r="H177" t="s">
        <v>537</v>
      </c>
      <c r="I177" s="26" t="s">
        <v>538</v>
      </c>
      <c r="J177"/>
      <c r="K177" t="s">
        <v>73</v>
      </c>
      <c r="L177" t="s">
        <v>85</v>
      </c>
      <c r="M177" s="27">
        <v>0.22600000000000001</v>
      </c>
      <c r="N177" s="28">
        <v>16</v>
      </c>
      <c r="O177" s="29" t="str">
        <f>IF(Table_2021_CIP[[#This Row],[Column2]]&lt;10,"A",IF(Table_2021_CIP[[#This Row],[Column2]]&gt;19,"C","B"))</f>
        <v>B</v>
      </c>
      <c r="P177" t="s">
        <v>539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148000</v>
      </c>
      <c r="Y177" s="30">
        <v>345000</v>
      </c>
      <c r="Z177" s="30">
        <v>0</v>
      </c>
      <c r="AA177" s="30">
        <v>0</v>
      </c>
      <c r="AB177" s="30">
        <v>0</v>
      </c>
      <c r="AC177" s="30">
        <v>0</v>
      </c>
      <c r="AD177" s="30">
        <v>0</v>
      </c>
      <c r="AE177" s="30">
        <v>0</v>
      </c>
      <c r="AF177" s="30">
        <v>0</v>
      </c>
      <c r="AG177" s="30">
        <v>0</v>
      </c>
      <c r="AH177" s="30">
        <v>0</v>
      </c>
      <c r="AI177" s="30">
        <v>0</v>
      </c>
      <c r="AJ177" s="30">
        <v>0</v>
      </c>
      <c r="AK177" s="30">
        <v>0</v>
      </c>
      <c r="AL177" s="30">
        <v>0</v>
      </c>
      <c r="AM177" s="30">
        <v>0</v>
      </c>
      <c r="AN177" s="30">
        <v>0</v>
      </c>
      <c r="AO177" s="30">
        <v>0</v>
      </c>
      <c r="AP177" s="30">
        <v>0</v>
      </c>
      <c r="AQ177" s="30">
        <f>Table_2021_CIP[[#This Row],[TotalYR1]]+S177</f>
        <v>0</v>
      </c>
      <c r="AR177" s="30">
        <f>SUM(Table_2021_CIP[[#This Row],[TotalYR1]:[32-33]])</f>
        <v>493000</v>
      </c>
      <c r="AS177" s="30">
        <f>SUM(Table_2021_CIP[[#This Row],[TotalYR1]:[47-48]])</f>
        <v>493000</v>
      </c>
      <c r="AT177" s="24">
        <f>SUM(Table_2021_CIP[[#This Row],[22-23]:[47-48]])</f>
        <v>493000</v>
      </c>
    </row>
    <row r="178" spans="1:46" ht="12.75" customHeight="1" x14ac:dyDescent="0.25">
      <c r="A178" s="25">
        <f t="shared" si="4"/>
        <v>170</v>
      </c>
      <c r="B178" t="s">
        <v>81</v>
      </c>
      <c r="C178" t="b">
        <v>0</v>
      </c>
      <c r="D178">
        <v>253</v>
      </c>
      <c r="E178">
        <v>253</v>
      </c>
      <c r="F178" t="b">
        <v>0</v>
      </c>
      <c r="G178" t="s">
        <v>107</v>
      </c>
      <c r="H178" t="s">
        <v>540</v>
      </c>
      <c r="I178" s="26" t="s">
        <v>541</v>
      </c>
      <c r="J178"/>
      <c r="K178" t="s">
        <v>73</v>
      </c>
      <c r="L178" t="s">
        <v>85</v>
      </c>
      <c r="M178" s="27">
        <v>0</v>
      </c>
      <c r="N178" s="28">
        <v>16</v>
      </c>
      <c r="O178" s="29" t="str">
        <f>IF(Table_2021_CIP[[#This Row],[Column2]]&lt;10,"A",IF(Table_2021_CIP[[#This Row],[Column2]]&gt;19,"C","B"))</f>
        <v>B</v>
      </c>
      <c r="P178" t="s">
        <v>542</v>
      </c>
      <c r="Q178" s="30">
        <v>194003</v>
      </c>
      <c r="R178" s="30">
        <v>15400</v>
      </c>
      <c r="S178" s="30">
        <v>16100</v>
      </c>
      <c r="T178" s="30">
        <v>15400</v>
      </c>
      <c r="U178" s="30">
        <v>15400</v>
      </c>
      <c r="V178" s="30">
        <v>15400</v>
      </c>
      <c r="W178" s="30">
        <v>15400</v>
      </c>
      <c r="X178" s="30">
        <v>15400</v>
      </c>
      <c r="Y178" s="30">
        <v>15400</v>
      </c>
      <c r="Z178" s="30">
        <v>15400</v>
      </c>
      <c r="AA178" s="30">
        <v>15400</v>
      </c>
      <c r="AB178" s="30">
        <v>15400</v>
      </c>
      <c r="AC178" s="30">
        <v>15400</v>
      </c>
      <c r="AD178" s="30">
        <v>15400</v>
      </c>
      <c r="AE178" s="30">
        <v>15400</v>
      </c>
      <c r="AF178" s="30">
        <v>15400</v>
      </c>
      <c r="AG178" s="30">
        <v>15400</v>
      </c>
      <c r="AH178" s="30">
        <v>15400</v>
      </c>
      <c r="AI178" s="30">
        <v>15400</v>
      </c>
      <c r="AJ178" s="30">
        <v>15400</v>
      </c>
      <c r="AK178" s="30">
        <v>15400</v>
      </c>
      <c r="AL178" s="30">
        <v>15400</v>
      </c>
      <c r="AM178" s="30">
        <v>15400</v>
      </c>
      <c r="AN178" s="30">
        <v>15400</v>
      </c>
      <c r="AO178" s="30">
        <v>15400</v>
      </c>
      <c r="AP178" s="30">
        <v>15400</v>
      </c>
      <c r="AQ178" s="30">
        <f>Table_2021_CIP[[#This Row],[TotalYR1]]+S178</f>
        <v>31500</v>
      </c>
      <c r="AR178" s="30">
        <f>SUM(Table_2021_CIP[[#This Row],[TotalYR1]:[32-33]])</f>
        <v>154700</v>
      </c>
      <c r="AS178" s="30">
        <f>SUM(Table_2021_CIP[[#This Row],[TotalYR1]:[47-48]])</f>
        <v>385700</v>
      </c>
      <c r="AT178" s="24">
        <f>SUM(Table_2021_CIP[[#This Row],[22-23]:[47-48]])</f>
        <v>579703</v>
      </c>
    </row>
    <row r="179" spans="1:46" ht="12.75" customHeight="1" x14ac:dyDescent="0.25">
      <c r="A179" s="25">
        <f t="shared" si="4"/>
        <v>171</v>
      </c>
      <c r="B179" t="s">
        <v>81</v>
      </c>
      <c r="C179" t="b">
        <v>0</v>
      </c>
      <c r="D179">
        <v>253</v>
      </c>
      <c r="E179">
        <v>130</v>
      </c>
      <c r="F179" t="b">
        <v>0</v>
      </c>
      <c r="G179" t="s">
        <v>165</v>
      </c>
      <c r="H179" t="s">
        <v>543</v>
      </c>
      <c r="I179" s="26" t="s">
        <v>544</v>
      </c>
      <c r="J179"/>
      <c r="K179" t="s">
        <v>73</v>
      </c>
      <c r="L179" t="s">
        <v>85</v>
      </c>
      <c r="M179" s="27">
        <v>0</v>
      </c>
      <c r="N179" s="28">
        <v>6</v>
      </c>
      <c r="O179" s="29" t="str">
        <f>IF(Table_2021_CIP[[#This Row],[Column2]]&lt;10,"A",IF(Table_2021_CIP[[#This Row],[Column2]]&gt;19,"C","B"))</f>
        <v>A</v>
      </c>
      <c r="P179" t="s">
        <v>545</v>
      </c>
      <c r="Q179" s="30">
        <v>0</v>
      </c>
      <c r="R179" s="30">
        <v>110224</v>
      </c>
      <c r="S179" s="30">
        <v>740339.19999999995</v>
      </c>
      <c r="T179" s="30">
        <v>1000000</v>
      </c>
      <c r="U179" s="30">
        <v>295000</v>
      </c>
      <c r="V179" s="30">
        <v>0</v>
      </c>
      <c r="W179" s="30">
        <v>0</v>
      </c>
      <c r="X179" s="30">
        <v>0</v>
      </c>
      <c r="Y179" s="30">
        <v>0</v>
      </c>
      <c r="Z179" s="30">
        <v>0</v>
      </c>
      <c r="AA179" s="30">
        <v>0</v>
      </c>
      <c r="AB179" s="30">
        <v>0</v>
      </c>
      <c r="AC179" s="30">
        <v>0</v>
      </c>
      <c r="AD179" s="30">
        <v>0</v>
      </c>
      <c r="AE179" s="30">
        <v>0</v>
      </c>
      <c r="AF179" s="30">
        <v>0</v>
      </c>
      <c r="AG179" s="30">
        <v>0</v>
      </c>
      <c r="AH179" s="30">
        <v>0</v>
      </c>
      <c r="AI179" s="30">
        <v>0</v>
      </c>
      <c r="AJ179" s="30">
        <v>0</v>
      </c>
      <c r="AK179" s="30">
        <v>0</v>
      </c>
      <c r="AL179" s="30">
        <v>0</v>
      </c>
      <c r="AM179" s="30">
        <v>0</v>
      </c>
      <c r="AN179" s="30">
        <v>0</v>
      </c>
      <c r="AO179" s="30">
        <v>0</v>
      </c>
      <c r="AP179" s="30">
        <v>0</v>
      </c>
      <c r="AQ179" s="30">
        <f>Table_2021_CIP[[#This Row],[TotalYR1]]+S179</f>
        <v>850563.2</v>
      </c>
      <c r="AR179" s="30">
        <f>SUM(Table_2021_CIP[[#This Row],[TotalYR1]:[32-33]])</f>
        <v>2145563.2000000002</v>
      </c>
      <c r="AS179" s="30">
        <f>SUM(Table_2021_CIP[[#This Row],[TotalYR1]:[47-48]])</f>
        <v>2145563.2000000002</v>
      </c>
      <c r="AT179" s="24">
        <f>SUM(Table_2021_CIP[[#This Row],[22-23]:[47-48]])</f>
        <v>2145563.2000000002</v>
      </c>
    </row>
    <row r="180" spans="1:46" ht="12.75" customHeight="1" x14ac:dyDescent="0.25">
      <c r="A180" s="25">
        <f t="shared" si="4"/>
        <v>172</v>
      </c>
      <c r="B180" t="s">
        <v>81</v>
      </c>
      <c r="C180" t="b">
        <v>0</v>
      </c>
      <c r="D180">
        <v>220</v>
      </c>
      <c r="E180">
        <v>220</v>
      </c>
      <c r="F180" t="b">
        <v>0</v>
      </c>
      <c r="G180" t="s">
        <v>107</v>
      </c>
      <c r="H180" t="s">
        <v>546</v>
      </c>
      <c r="I180" s="26" t="s">
        <v>547</v>
      </c>
      <c r="J180" t="s">
        <v>126</v>
      </c>
      <c r="K180" t="s">
        <v>73</v>
      </c>
      <c r="L180" t="s">
        <v>85</v>
      </c>
      <c r="M180" s="27">
        <v>0.22600000000000001</v>
      </c>
      <c r="N180" s="28">
        <v>2</v>
      </c>
      <c r="O180" s="29" t="str">
        <f>IF(Table_2021_CIP[[#This Row],[Column2]]&lt;10,"A",IF(Table_2021_CIP[[#This Row],[Column2]]&gt;19,"C","B"))</f>
        <v>A</v>
      </c>
      <c r="P180" t="s">
        <v>548</v>
      </c>
      <c r="Q180" s="30">
        <v>16000</v>
      </c>
      <c r="R180" s="30">
        <v>25000</v>
      </c>
      <c r="S180" s="30">
        <v>25000</v>
      </c>
      <c r="T180" s="30">
        <v>25000</v>
      </c>
      <c r="U180" s="30">
        <v>25000</v>
      </c>
      <c r="V180" s="30">
        <v>25000</v>
      </c>
      <c r="W180" s="30">
        <v>25000</v>
      </c>
      <c r="X180" s="30">
        <v>25000</v>
      </c>
      <c r="Y180" s="30">
        <v>25000</v>
      </c>
      <c r="Z180" s="30">
        <v>25000</v>
      </c>
      <c r="AA180" s="30">
        <v>25000</v>
      </c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>
        <f>Table_2021_CIP[[#This Row],[TotalYR1]]+S180</f>
        <v>50000</v>
      </c>
      <c r="AR180" s="30">
        <f>SUM(Table_2021_CIP[[#This Row],[TotalYR1]:[32-33]])</f>
        <v>250000</v>
      </c>
      <c r="AS180" s="30">
        <f>SUM(Table_2021_CIP[[#This Row],[TotalYR1]:[47-48]])</f>
        <v>250000</v>
      </c>
      <c r="AT180" s="24">
        <f>SUM(Table_2021_CIP[[#This Row],[22-23]:[47-48]])</f>
        <v>266000</v>
      </c>
    </row>
    <row r="181" spans="1:46" ht="12.75" customHeight="1" x14ac:dyDescent="0.25">
      <c r="A181" s="25">
        <f t="shared" si="4"/>
        <v>173</v>
      </c>
      <c r="B181" t="s">
        <v>81</v>
      </c>
      <c r="C181" t="b">
        <v>0</v>
      </c>
      <c r="D181">
        <v>220</v>
      </c>
      <c r="E181">
        <v>220</v>
      </c>
      <c r="F181" t="b">
        <v>0</v>
      </c>
      <c r="G181" t="s">
        <v>107</v>
      </c>
      <c r="H181" t="s">
        <v>549</v>
      </c>
      <c r="I181" s="26" t="s">
        <v>550</v>
      </c>
      <c r="J181"/>
      <c r="K181" t="s">
        <v>73</v>
      </c>
      <c r="L181" t="s">
        <v>85</v>
      </c>
      <c r="M181" s="27">
        <v>0.22600000000000001</v>
      </c>
      <c r="N181" s="28">
        <v>9</v>
      </c>
      <c r="O181" s="29" t="str">
        <f>IF(Table_2021_CIP[[#This Row],[Column2]]&lt;10,"A",IF(Table_2021_CIP[[#This Row],[Column2]]&gt;19,"C","B"))</f>
        <v>A</v>
      </c>
      <c r="P181" t="s">
        <v>551</v>
      </c>
      <c r="Q181" s="30">
        <v>70000</v>
      </c>
      <c r="R181" s="30">
        <v>75000</v>
      </c>
      <c r="S181" s="30">
        <v>75000</v>
      </c>
      <c r="T181" s="30">
        <v>75000</v>
      </c>
      <c r="U181" s="30">
        <v>75000</v>
      </c>
      <c r="V181" s="30">
        <v>75000</v>
      </c>
      <c r="W181" s="30">
        <v>75000</v>
      </c>
      <c r="X181" s="30">
        <v>75000</v>
      </c>
      <c r="Y181" s="30">
        <v>75000</v>
      </c>
      <c r="Z181" s="30">
        <v>75000</v>
      </c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>
        <f>Table_2021_CIP[[#This Row],[TotalYR1]]+S181</f>
        <v>150000</v>
      </c>
      <c r="AR181" s="30">
        <f>SUM(Table_2021_CIP[[#This Row],[TotalYR1]:[32-33]])</f>
        <v>675000</v>
      </c>
      <c r="AS181" s="30">
        <f>SUM(Table_2021_CIP[[#This Row],[TotalYR1]:[47-48]])</f>
        <v>675000</v>
      </c>
      <c r="AT181" s="24">
        <f>SUM(Table_2021_CIP[[#This Row],[22-23]:[47-48]])</f>
        <v>745000</v>
      </c>
    </row>
    <row r="182" spans="1:46" ht="12.75" customHeight="1" x14ac:dyDescent="0.25">
      <c r="A182" s="25">
        <f t="shared" si="4"/>
        <v>174</v>
      </c>
      <c r="B182" t="s">
        <v>81</v>
      </c>
      <c r="C182" t="b">
        <v>0</v>
      </c>
      <c r="D182">
        <v>253</v>
      </c>
      <c r="E182">
        <v>130</v>
      </c>
      <c r="F182" t="b">
        <v>0</v>
      </c>
      <c r="G182" t="s">
        <v>107</v>
      </c>
      <c r="H182" t="s">
        <v>552</v>
      </c>
      <c r="I182" s="26" t="s">
        <v>553</v>
      </c>
      <c r="J182"/>
      <c r="K182" t="s">
        <v>73</v>
      </c>
      <c r="L182" t="s">
        <v>85</v>
      </c>
      <c r="M182" s="27">
        <v>0</v>
      </c>
      <c r="N182" s="28">
        <v>14</v>
      </c>
      <c r="O182" s="29" t="str">
        <f>IF(Table_2021_CIP[[#This Row],[Column2]]&lt;10,"A",IF(Table_2021_CIP[[#This Row],[Column2]]&gt;19,"C","B"))</f>
        <v>B</v>
      </c>
      <c r="P182" t="s">
        <v>554</v>
      </c>
      <c r="Q182" s="30">
        <v>0</v>
      </c>
      <c r="R182" s="30">
        <v>0</v>
      </c>
      <c r="S182" s="30">
        <v>0</v>
      </c>
      <c r="T182" s="30">
        <v>126000</v>
      </c>
      <c r="U182" s="30">
        <v>775000</v>
      </c>
      <c r="V182" s="30">
        <v>1439000</v>
      </c>
      <c r="W182" s="30">
        <v>0</v>
      </c>
      <c r="X182" s="30">
        <v>0</v>
      </c>
      <c r="Y182" s="30">
        <v>0</v>
      </c>
      <c r="Z182" s="30">
        <v>0</v>
      </c>
      <c r="AA182" s="30">
        <v>0</v>
      </c>
      <c r="AB182" s="30">
        <v>0</v>
      </c>
      <c r="AC182" s="30">
        <v>0</v>
      </c>
      <c r="AD182" s="30">
        <v>0</v>
      </c>
      <c r="AE182" s="30">
        <v>0</v>
      </c>
      <c r="AF182" s="30">
        <v>0</v>
      </c>
      <c r="AG182" s="30">
        <v>0</v>
      </c>
      <c r="AH182" s="30">
        <v>0</v>
      </c>
      <c r="AI182" s="30">
        <v>0</v>
      </c>
      <c r="AJ182" s="30">
        <v>0</v>
      </c>
      <c r="AK182" s="30">
        <v>0</v>
      </c>
      <c r="AL182" s="30">
        <v>0</v>
      </c>
      <c r="AM182" s="30">
        <v>0</v>
      </c>
      <c r="AN182" s="30">
        <v>0</v>
      </c>
      <c r="AO182" s="30">
        <v>0</v>
      </c>
      <c r="AP182" s="30">
        <v>0</v>
      </c>
      <c r="AQ182" s="30">
        <f>Table_2021_CIP[[#This Row],[TotalYR1]]+S182</f>
        <v>0</v>
      </c>
      <c r="AR182" s="30">
        <f>SUM(Table_2021_CIP[[#This Row],[TotalYR1]:[32-33]])</f>
        <v>2340000</v>
      </c>
      <c r="AS182" s="30">
        <f>SUM(Table_2021_CIP[[#This Row],[TotalYR1]:[47-48]])</f>
        <v>2340000</v>
      </c>
      <c r="AT182" s="24">
        <f>SUM(Table_2021_CIP[[#This Row],[22-23]:[47-48]])</f>
        <v>2340000</v>
      </c>
    </row>
    <row r="183" spans="1:46" ht="12.75" customHeight="1" x14ac:dyDescent="0.25">
      <c r="A183" s="17">
        <f t="shared" si="4"/>
        <v>175</v>
      </c>
      <c r="B183" s="18" t="s">
        <v>81</v>
      </c>
      <c r="C183" s="18" t="b">
        <v>1</v>
      </c>
      <c r="D183" s="18">
        <v>253</v>
      </c>
      <c r="E183" s="18">
        <v>130</v>
      </c>
      <c r="F183" s="18" t="b">
        <v>0</v>
      </c>
      <c r="G183" s="18" t="s">
        <v>107</v>
      </c>
      <c r="H183" s="18" t="s">
        <v>189</v>
      </c>
      <c r="I183" s="19" t="s">
        <v>555</v>
      </c>
      <c r="J183" s="18" t="s">
        <v>147</v>
      </c>
      <c r="K183" s="18" t="s">
        <v>73</v>
      </c>
      <c r="L183" s="18" t="s">
        <v>74</v>
      </c>
      <c r="M183" s="20">
        <v>0</v>
      </c>
      <c r="N183" s="21">
        <v>7</v>
      </c>
      <c r="O183" s="22" t="str">
        <f>IF(Table_2021_CIP[[#This Row],[Column2]]&lt;10,"A",IF(Table_2021_CIP[[#This Row],[Column2]]&gt;19,"C","B"))</f>
        <v>A</v>
      </c>
      <c r="P183" s="18" t="s">
        <v>556</v>
      </c>
      <c r="Q183" s="23">
        <v>0</v>
      </c>
      <c r="R183" s="23">
        <v>314553.59999999998</v>
      </c>
      <c r="S183" s="23">
        <v>208896</v>
      </c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>
        <f>Table_2021_CIP[[#This Row],[TotalYR1]]+S183</f>
        <v>523449.59999999998</v>
      </c>
      <c r="AR183" s="23">
        <f>SUM(Table_2021_CIP[[#This Row],[TotalYR1]:[32-33]])</f>
        <v>523449.59999999998</v>
      </c>
      <c r="AS183" s="23">
        <f>SUM(Table_2021_CIP[[#This Row],[TotalYR1]:[47-48]])</f>
        <v>523449.59999999998</v>
      </c>
      <c r="AT183" s="24">
        <f>SUM(Table_2021_CIP[[#This Row],[22-23]:[47-48]])</f>
        <v>523449.59999999998</v>
      </c>
    </row>
    <row r="184" spans="1:46" ht="12.75" customHeight="1" x14ac:dyDescent="0.25">
      <c r="A184" s="17">
        <f t="shared" si="4"/>
        <v>176</v>
      </c>
      <c r="B184" s="18" t="s">
        <v>101</v>
      </c>
      <c r="C184" s="18" t="b">
        <v>1</v>
      </c>
      <c r="D184" s="18">
        <v>253</v>
      </c>
      <c r="E184" s="18">
        <v>130</v>
      </c>
      <c r="F184" s="18" t="b">
        <v>0</v>
      </c>
      <c r="G184" s="18" t="s">
        <v>107</v>
      </c>
      <c r="H184" s="18" t="s">
        <v>142</v>
      </c>
      <c r="I184" s="19" t="s">
        <v>557</v>
      </c>
      <c r="J184" s="18"/>
      <c r="K184" s="18" t="s">
        <v>73</v>
      </c>
      <c r="L184" s="18" t="s">
        <v>74</v>
      </c>
      <c r="M184" s="20">
        <v>0</v>
      </c>
      <c r="N184" s="21">
        <v>10</v>
      </c>
      <c r="O184" s="22" t="str">
        <f>IF(Table_2021_CIP[[#This Row],[Column2]]&lt;10,"A",IF(Table_2021_CIP[[#This Row],[Column2]]&gt;19,"C","B"))</f>
        <v>B</v>
      </c>
      <c r="P184" s="18" t="s">
        <v>558</v>
      </c>
      <c r="Q184" s="23">
        <v>0</v>
      </c>
      <c r="R184" s="23">
        <v>0</v>
      </c>
      <c r="S184" s="23">
        <v>0</v>
      </c>
      <c r="T184" s="23">
        <v>200000</v>
      </c>
      <c r="U184" s="23"/>
      <c r="V184" s="23"/>
      <c r="W184" s="23">
        <v>1222882</v>
      </c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>
        <f>Table_2021_CIP[[#This Row],[TotalYR1]]+S184</f>
        <v>0</v>
      </c>
      <c r="AR184" s="23">
        <f>SUM(Table_2021_CIP[[#This Row],[TotalYR1]:[32-33]])</f>
        <v>1422882</v>
      </c>
      <c r="AS184" s="23">
        <f>SUM(Table_2021_CIP[[#This Row],[TotalYR1]:[47-48]])</f>
        <v>1422882</v>
      </c>
      <c r="AT184" s="24">
        <f>SUM(Table_2021_CIP[[#This Row],[22-23]:[47-48]])</f>
        <v>1422882</v>
      </c>
    </row>
    <row r="185" spans="1:46" ht="12.75" customHeight="1" x14ac:dyDescent="0.25">
      <c r="A185" s="25">
        <f t="shared" si="4"/>
        <v>177</v>
      </c>
      <c r="B185" t="s">
        <v>399</v>
      </c>
      <c r="C185" t="b">
        <v>0</v>
      </c>
      <c r="D185">
        <v>250</v>
      </c>
      <c r="E185">
        <v>250</v>
      </c>
      <c r="F185" t="b">
        <v>0</v>
      </c>
      <c r="G185" t="s">
        <v>107</v>
      </c>
      <c r="H185" t="s">
        <v>559</v>
      </c>
      <c r="I185" s="26" t="s">
        <v>560</v>
      </c>
      <c r="J185"/>
      <c r="K185" t="s">
        <v>73</v>
      </c>
      <c r="L185" t="s">
        <v>85</v>
      </c>
      <c r="M185" s="27">
        <v>0</v>
      </c>
      <c r="N185" s="28">
        <v>9</v>
      </c>
      <c r="O185" s="29" t="str">
        <f>IF(Table_2021_CIP[[#This Row],[Column2]]&lt;10,"A",IF(Table_2021_CIP[[#This Row],[Column2]]&gt;19,"C","B"))</f>
        <v>A</v>
      </c>
      <c r="P185" t="s">
        <v>561</v>
      </c>
      <c r="Q185" s="30"/>
      <c r="R185" s="30">
        <v>271000</v>
      </c>
      <c r="S185" s="30">
        <v>435000</v>
      </c>
      <c r="T185" s="30">
        <v>575000</v>
      </c>
      <c r="U185" s="30">
        <v>717000</v>
      </c>
      <c r="V185" s="30">
        <v>717000</v>
      </c>
      <c r="W185" s="30">
        <v>717000</v>
      </c>
      <c r="X185" s="30">
        <v>725000</v>
      </c>
      <c r="Y185" s="30">
        <v>725000</v>
      </c>
      <c r="Z185" s="30">
        <v>725000</v>
      </c>
      <c r="AA185" s="30">
        <v>725000</v>
      </c>
      <c r="AB185" s="30">
        <v>750000</v>
      </c>
      <c r="AC185" s="30">
        <v>750000</v>
      </c>
      <c r="AD185" s="30">
        <v>750000</v>
      </c>
      <c r="AE185" s="30">
        <v>750000</v>
      </c>
      <c r="AF185" s="30">
        <v>750000</v>
      </c>
      <c r="AG185" s="30">
        <v>750000</v>
      </c>
      <c r="AH185" s="30">
        <v>750000</v>
      </c>
      <c r="AI185" s="30">
        <v>750000</v>
      </c>
      <c r="AJ185" s="30">
        <v>750000</v>
      </c>
      <c r="AK185" s="30">
        <v>750000</v>
      </c>
      <c r="AL185" s="30">
        <v>750000</v>
      </c>
      <c r="AM185" s="30">
        <v>750000</v>
      </c>
      <c r="AN185" s="30">
        <v>750000</v>
      </c>
      <c r="AO185" s="30">
        <v>750000</v>
      </c>
      <c r="AP185" s="30">
        <v>750000</v>
      </c>
      <c r="AQ185" s="30">
        <f>Table_2021_CIP[[#This Row],[TotalYR1]]+S185</f>
        <v>706000</v>
      </c>
      <c r="AR185" s="30">
        <f>SUM(Table_2021_CIP[[#This Row],[TotalYR1]:[32-33]])</f>
        <v>6332000</v>
      </c>
      <c r="AS185" s="30">
        <f>SUM(Table_2021_CIP[[#This Row],[TotalYR1]:[47-48]])</f>
        <v>17582000</v>
      </c>
      <c r="AT185" s="24">
        <f>SUM(Table_2021_CIP[[#This Row],[22-23]:[47-48]])</f>
        <v>17582000</v>
      </c>
    </row>
    <row r="186" spans="1:46" ht="12.75" customHeight="1" x14ac:dyDescent="0.25">
      <c r="A186" s="17">
        <f t="shared" si="4"/>
        <v>178</v>
      </c>
      <c r="B186" s="18" t="s">
        <v>399</v>
      </c>
      <c r="C186" s="18" t="b">
        <v>1</v>
      </c>
      <c r="D186" s="18">
        <v>250</v>
      </c>
      <c r="E186" s="18">
        <v>250</v>
      </c>
      <c r="F186" s="18" t="b">
        <v>0</v>
      </c>
      <c r="G186" s="18" t="s">
        <v>107</v>
      </c>
      <c r="H186" s="18" t="s">
        <v>562</v>
      </c>
      <c r="I186" s="19" t="s">
        <v>563</v>
      </c>
      <c r="J186" s="18"/>
      <c r="K186" s="18" t="s">
        <v>73</v>
      </c>
      <c r="L186" s="18" t="s">
        <v>74</v>
      </c>
      <c r="M186" s="20">
        <v>0.10000000149011599</v>
      </c>
      <c r="N186" s="21">
        <v>2</v>
      </c>
      <c r="O186" s="22" t="str">
        <f>IF(Table_2021_CIP[[#This Row],[Column2]]&lt;10,"A",IF(Table_2021_CIP[[#This Row],[Column2]]&gt;19,"C","B"))</f>
        <v>A</v>
      </c>
      <c r="P186" s="18" t="s">
        <v>564</v>
      </c>
      <c r="Q186" s="23"/>
      <c r="R186" s="23">
        <v>200000</v>
      </c>
      <c r="S186" s="23">
        <v>0</v>
      </c>
      <c r="T186" s="23">
        <v>0</v>
      </c>
      <c r="U186" s="23">
        <v>500000</v>
      </c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>
        <f>Table_2021_CIP[[#This Row],[TotalYR1]]+S186</f>
        <v>200000</v>
      </c>
      <c r="AR186" s="23">
        <f>SUM(Table_2021_CIP[[#This Row],[TotalYR1]:[32-33]])</f>
        <v>700000</v>
      </c>
      <c r="AS186" s="23">
        <f>SUM(Table_2021_CIP[[#This Row],[TotalYR1]:[47-48]])</f>
        <v>700000</v>
      </c>
      <c r="AT186" s="24">
        <f>SUM(Table_2021_CIP[[#This Row],[22-23]:[47-48]])</f>
        <v>700000</v>
      </c>
    </row>
    <row r="187" spans="1:46" ht="12.75" customHeight="1" x14ac:dyDescent="0.25">
      <c r="A187" s="25">
        <f t="shared" si="4"/>
        <v>179</v>
      </c>
      <c r="B187"/>
      <c r="C187" t="b">
        <v>0</v>
      </c>
      <c r="D187">
        <v>253</v>
      </c>
      <c r="E187">
        <v>253</v>
      </c>
      <c r="F187" t="b">
        <v>0</v>
      </c>
      <c r="G187" t="s">
        <v>107</v>
      </c>
      <c r="H187" t="s">
        <v>565</v>
      </c>
      <c r="I187" s="26" t="s">
        <v>566</v>
      </c>
      <c r="J187"/>
      <c r="K187" t="s">
        <v>73</v>
      </c>
      <c r="L187" t="s">
        <v>85</v>
      </c>
      <c r="M187" s="27">
        <v>0.22600000000000001</v>
      </c>
      <c r="N187" s="28">
        <v>6</v>
      </c>
      <c r="O187" s="29" t="str">
        <f>IF(Table_2021_CIP[[#This Row],[Column2]]&lt;10,"A",IF(Table_2021_CIP[[#This Row],[Column2]]&gt;19,"C","B"))</f>
        <v>A</v>
      </c>
      <c r="P187" t="s">
        <v>567</v>
      </c>
      <c r="Q187" s="30"/>
      <c r="R187" s="30">
        <v>0</v>
      </c>
      <c r="S187" s="30">
        <v>0</v>
      </c>
      <c r="T187" s="30"/>
      <c r="U187" s="30">
        <v>80000</v>
      </c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>
        <f>Table_2021_CIP[[#This Row],[TotalYR1]]+S187</f>
        <v>0</v>
      </c>
      <c r="AR187" s="30">
        <f>SUM(Table_2021_CIP[[#This Row],[TotalYR1]:[32-33]])</f>
        <v>80000</v>
      </c>
      <c r="AS187" s="30">
        <f>SUM(Table_2021_CIP[[#This Row],[TotalYR1]:[47-48]])</f>
        <v>80000</v>
      </c>
      <c r="AT187" s="24">
        <f>SUM(Table_2021_CIP[[#This Row],[22-23]:[47-48]])</f>
        <v>80000</v>
      </c>
    </row>
    <row r="188" spans="1:46" ht="12.75" customHeight="1" x14ac:dyDescent="0.25">
      <c r="A188" s="25">
        <f t="shared" si="4"/>
        <v>180</v>
      </c>
      <c r="B188" t="s">
        <v>101</v>
      </c>
      <c r="C188" t="b">
        <v>0</v>
      </c>
      <c r="D188">
        <v>253</v>
      </c>
      <c r="E188">
        <v>253</v>
      </c>
      <c r="F188" t="b">
        <v>0</v>
      </c>
      <c r="G188" t="s">
        <v>165</v>
      </c>
      <c r="H188" t="s">
        <v>568</v>
      </c>
      <c r="I188" s="26" t="s">
        <v>569</v>
      </c>
      <c r="J188"/>
      <c r="K188" t="s">
        <v>73</v>
      </c>
      <c r="L188" t="s">
        <v>85</v>
      </c>
      <c r="M188" s="27">
        <v>0</v>
      </c>
      <c r="N188" s="28">
        <v>15</v>
      </c>
      <c r="O188" s="29" t="str">
        <f>IF(Table_2021_CIP[[#This Row],[Column2]]&lt;10,"A",IF(Table_2021_CIP[[#This Row],[Column2]]&gt;19,"C","B"))</f>
        <v>B</v>
      </c>
      <c r="P188" t="s">
        <v>570</v>
      </c>
      <c r="Q188" s="30"/>
      <c r="R188" s="30">
        <v>0</v>
      </c>
      <c r="S188" s="30">
        <v>0</v>
      </c>
      <c r="T188" s="30"/>
      <c r="U188" s="30"/>
      <c r="V188" s="30"/>
      <c r="W188" s="30">
        <v>100000</v>
      </c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>
        <f>Table_2021_CIP[[#This Row],[TotalYR1]]+S188</f>
        <v>0</v>
      </c>
      <c r="AR188" s="30">
        <f>SUM(Table_2021_CIP[[#This Row],[TotalYR1]:[32-33]])</f>
        <v>100000</v>
      </c>
      <c r="AS188" s="30">
        <f>SUM(Table_2021_CIP[[#This Row],[TotalYR1]:[47-48]])</f>
        <v>100000</v>
      </c>
      <c r="AT188" s="24">
        <f>SUM(Table_2021_CIP[[#This Row],[22-23]:[47-48]])</f>
        <v>100000</v>
      </c>
    </row>
    <row r="189" spans="1:46" ht="12.75" customHeight="1" x14ac:dyDescent="0.25">
      <c r="A189" s="25">
        <f t="shared" si="4"/>
        <v>181</v>
      </c>
      <c r="B189" t="s">
        <v>101</v>
      </c>
      <c r="C189" t="b">
        <v>0</v>
      </c>
      <c r="D189">
        <v>253</v>
      </c>
      <c r="E189">
        <v>253</v>
      </c>
      <c r="F189" t="b">
        <v>0</v>
      </c>
      <c r="G189" t="s">
        <v>82</v>
      </c>
      <c r="H189" t="s">
        <v>571</v>
      </c>
      <c r="I189" s="26" t="s">
        <v>572</v>
      </c>
      <c r="J189"/>
      <c r="K189" t="s">
        <v>73</v>
      </c>
      <c r="L189" t="s">
        <v>85</v>
      </c>
      <c r="M189" s="27">
        <v>0</v>
      </c>
      <c r="N189" s="28">
        <v>15</v>
      </c>
      <c r="O189" s="29" t="str">
        <f>IF(Table_2021_CIP[[#This Row],[Column2]]&lt;10,"A",IF(Table_2021_CIP[[#This Row],[Column2]]&gt;19,"C","B"))</f>
        <v>B</v>
      </c>
      <c r="P189" t="s">
        <v>573</v>
      </c>
      <c r="Q189" s="30"/>
      <c r="R189" s="30">
        <v>0</v>
      </c>
      <c r="S189" s="30">
        <v>0</v>
      </c>
      <c r="T189" s="30"/>
      <c r="U189" s="30"/>
      <c r="V189" s="30"/>
      <c r="W189" s="30">
        <v>500000</v>
      </c>
      <c r="X189" s="30">
        <v>500000</v>
      </c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>
        <f>Table_2021_CIP[[#This Row],[TotalYR1]]+S189</f>
        <v>0</v>
      </c>
      <c r="AR189" s="30">
        <f>SUM(Table_2021_CIP[[#This Row],[TotalYR1]:[32-33]])</f>
        <v>1000000</v>
      </c>
      <c r="AS189" s="30">
        <f>SUM(Table_2021_CIP[[#This Row],[TotalYR1]:[47-48]])</f>
        <v>1000000</v>
      </c>
      <c r="AT189" s="24">
        <f>SUM(Table_2021_CIP[[#This Row],[22-23]:[47-48]])</f>
        <v>1000000</v>
      </c>
    </row>
    <row r="190" spans="1:46" ht="12.75" customHeight="1" x14ac:dyDescent="0.25">
      <c r="A190" s="25">
        <f t="shared" si="4"/>
        <v>182</v>
      </c>
      <c r="B190" t="s">
        <v>101</v>
      </c>
      <c r="C190" t="b">
        <v>0</v>
      </c>
      <c r="D190">
        <v>253</v>
      </c>
      <c r="E190">
        <v>253</v>
      </c>
      <c r="F190" t="b">
        <v>0</v>
      </c>
      <c r="G190" t="s">
        <v>82</v>
      </c>
      <c r="H190" t="s">
        <v>574</v>
      </c>
      <c r="I190" s="26" t="s">
        <v>575</v>
      </c>
      <c r="J190"/>
      <c r="K190" t="s">
        <v>73</v>
      </c>
      <c r="L190" t="s">
        <v>85</v>
      </c>
      <c r="M190" s="27">
        <v>0</v>
      </c>
      <c r="N190" s="28">
        <v>15</v>
      </c>
      <c r="O190" s="29" t="str">
        <f>IF(Table_2021_CIP[[#This Row],[Column2]]&lt;10,"A",IF(Table_2021_CIP[[#This Row],[Column2]]&gt;19,"C","B"))</f>
        <v>B</v>
      </c>
      <c r="P190" t="s">
        <v>576</v>
      </c>
      <c r="Q190" s="30"/>
      <c r="R190" s="30">
        <v>0</v>
      </c>
      <c r="S190" s="30">
        <v>0</v>
      </c>
      <c r="T190" s="30"/>
      <c r="U190" s="30"/>
      <c r="V190" s="30"/>
      <c r="W190" s="30">
        <v>300000</v>
      </c>
      <c r="X190" s="30">
        <v>300000</v>
      </c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>
        <f>Table_2021_CIP[[#This Row],[TotalYR1]]+S190</f>
        <v>0</v>
      </c>
      <c r="AR190" s="30">
        <f>SUM(Table_2021_CIP[[#This Row],[TotalYR1]:[32-33]])</f>
        <v>600000</v>
      </c>
      <c r="AS190" s="30">
        <f>SUM(Table_2021_CIP[[#This Row],[TotalYR1]:[47-48]])</f>
        <v>600000</v>
      </c>
      <c r="AT190" s="24">
        <f>SUM(Table_2021_CIP[[#This Row],[22-23]:[47-48]])</f>
        <v>600000</v>
      </c>
    </row>
    <row r="191" spans="1:46" ht="12.75" customHeight="1" x14ac:dyDescent="0.25">
      <c r="A191" s="17">
        <f t="shared" si="4"/>
        <v>183</v>
      </c>
      <c r="B191" s="18" t="s">
        <v>101</v>
      </c>
      <c r="C191" s="18" t="b">
        <v>1</v>
      </c>
      <c r="D191" s="18">
        <v>253</v>
      </c>
      <c r="E191" s="18">
        <v>253</v>
      </c>
      <c r="F191" s="18" t="b">
        <v>0</v>
      </c>
      <c r="G191" s="18" t="s">
        <v>165</v>
      </c>
      <c r="H191" s="18" t="s">
        <v>577</v>
      </c>
      <c r="I191" s="19" t="s">
        <v>578</v>
      </c>
      <c r="J191" s="18"/>
      <c r="K191" s="18" t="s">
        <v>73</v>
      </c>
      <c r="L191" s="18" t="s">
        <v>74</v>
      </c>
      <c r="M191" s="20">
        <v>0.22600000000000001</v>
      </c>
      <c r="N191" s="21">
        <v>6</v>
      </c>
      <c r="O191" s="22" t="str">
        <f>IF(Table_2021_CIP[[#This Row],[Column2]]&lt;10,"A",IF(Table_2021_CIP[[#This Row],[Column2]]&gt;19,"C","B"))</f>
        <v>A</v>
      </c>
      <c r="P191" s="18" t="s">
        <v>579</v>
      </c>
      <c r="Q191" s="23"/>
      <c r="R191" s="23">
        <v>0</v>
      </c>
      <c r="S191" s="23">
        <v>0</v>
      </c>
      <c r="T191" s="23"/>
      <c r="U191" s="23"/>
      <c r="V191" s="23"/>
      <c r="W191" s="23">
        <v>1000000</v>
      </c>
      <c r="X191" s="23">
        <v>1000000</v>
      </c>
      <c r="Y191" s="23">
        <v>3000000</v>
      </c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>
        <f>Table_2021_CIP[[#This Row],[TotalYR1]]+S191</f>
        <v>0</v>
      </c>
      <c r="AR191" s="23">
        <f>SUM(Table_2021_CIP[[#This Row],[TotalYR1]:[32-33]])</f>
        <v>5000000</v>
      </c>
      <c r="AS191" s="23">
        <f>SUM(Table_2021_CIP[[#This Row],[TotalYR1]:[47-48]])</f>
        <v>5000000</v>
      </c>
      <c r="AT191" s="24">
        <f>SUM(Table_2021_CIP[[#This Row],[22-23]:[47-48]])</f>
        <v>5000000</v>
      </c>
    </row>
    <row r="192" spans="1:46" ht="12.75" customHeight="1" x14ac:dyDescent="0.25">
      <c r="A192" s="25">
        <f t="shared" si="4"/>
        <v>184</v>
      </c>
      <c r="B192"/>
      <c r="C192" t="b">
        <v>0</v>
      </c>
      <c r="D192">
        <v>240</v>
      </c>
      <c r="E192">
        <v>130</v>
      </c>
      <c r="F192" t="b">
        <v>0</v>
      </c>
      <c r="G192" t="s">
        <v>107</v>
      </c>
      <c r="H192" t="s">
        <v>580</v>
      </c>
      <c r="I192" s="26" t="s">
        <v>581</v>
      </c>
      <c r="J192"/>
      <c r="K192" t="s">
        <v>73</v>
      </c>
      <c r="L192" t="s">
        <v>85</v>
      </c>
      <c r="M192" s="27">
        <v>0.22600000000000001</v>
      </c>
      <c r="N192" s="28">
        <v>6</v>
      </c>
      <c r="O192" s="29" t="str">
        <f>IF(Table_2021_CIP[[#This Row],[Column2]]&lt;10,"A",IF(Table_2021_CIP[[#This Row],[Column2]]&gt;19,"C","B"))</f>
        <v>A</v>
      </c>
      <c r="P192" t="s">
        <v>582</v>
      </c>
      <c r="Q192" s="30"/>
      <c r="R192" s="30">
        <v>0</v>
      </c>
      <c r="S192" s="30">
        <v>0</v>
      </c>
      <c r="T192" s="30"/>
      <c r="U192" s="30"/>
      <c r="V192" s="30"/>
      <c r="W192" s="30"/>
      <c r="X192" s="30"/>
      <c r="Y192" s="30"/>
      <c r="Z192" s="30">
        <v>414599</v>
      </c>
      <c r="AA192" s="30">
        <v>1076723</v>
      </c>
      <c r="AB192" s="30">
        <v>1076723</v>
      </c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>
        <f>Table_2021_CIP[[#This Row],[TotalYR1]]+S192</f>
        <v>0</v>
      </c>
      <c r="AR192" s="30">
        <f>SUM(Table_2021_CIP[[#This Row],[TotalYR1]:[32-33]])</f>
        <v>1491322</v>
      </c>
      <c r="AS192" s="30">
        <f>SUM(Table_2021_CIP[[#This Row],[TotalYR1]:[47-48]])</f>
        <v>2568045</v>
      </c>
      <c r="AT192" s="24">
        <f>SUM(Table_2021_CIP[[#This Row],[22-23]:[47-48]])</f>
        <v>2568045</v>
      </c>
    </row>
    <row r="193" spans="1:46" ht="12.75" customHeight="1" x14ac:dyDescent="0.25">
      <c r="A193" s="25">
        <f t="shared" si="4"/>
        <v>185</v>
      </c>
      <c r="B193"/>
      <c r="C193" t="b">
        <v>0</v>
      </c>
      <c r="D193">
        <v>240</v>
      </c>
      <c r="E193">
        <v>130</v>
      </c>
      <c r="F193" t="b">
        <v>0</v>
      </c>
      <c r="G193" t="s">
        <v>165</v>
      </c>
      <c r="H193" t="s">
        <v>583</v>
      </c>
      <c r="I193" s="26" t="s">
        <v>584</v>
      </c>
      <c r="J193" t="s">
        <v>154</v>
      </c>
      <c r="K193" t="s">
        <v>73</v>
      </c>
      <c r="L193" t="s">
        <v>85</v>
      </c>
      <c r="M193" s="27">
        <v>0.22600000000000001</v>
      </c>
      <c r="N193" s="28">
        <v>1</v>
      </c>
      <c r="O193" s="29" t="str">
        <f>IF(Table_2021_CIP[[#This Row],[Column2]]&lt;10,"A",IF(Table_2021_CIP[[#This Row],[Column2]]&gt;19,"C","B"))</f>
        <v>A</v>
      </c>
      <c r="P193" t="s">
        <v>585</v>
      </c>
      <c r="Q193" s="30"/>
      <c r="R193" s="30">
        <v>0</v>
      </c>
      <c r="S193" s="30"/>
      <c r="T193" s="30"/>
      <c r="U193" s="30"/>
      <c r="V193" s="30"/>
      <c r="W193" s="30"/>
      <c r="X193" s="30"/>
      <c r="Y193" s="30">
        <v>13280</v>
      </c>
      <c r="Z193" s="30">
        <v>710741</v>
      </c>
      <c r="AA193" s="30">
        <f>4608368</f>
        <v>4608368</v>
      </c>
      <c r="AB193" s="30">
        <v>4608368</v>
      </c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>
        <f>Table_2021_CIP[[#This Row],[TotalYR1]]+S193</f>
        <v>0</v>
      </c>
      <c r="AR193" s="30">
        <f>SUM(Table_2021_CIP[[#This Row],[TotalYR1]:[32-33]])</f>
        <v>5332389</v>
      </c>
      <c r="AS193" s="30">
        <f>SUM(Table_2021_CIP[[#This Row],[TotalYR1]:[47-48]])</f>
        <v>9940757</v>
      </c>
      <c r="AT193" s="24">
        <f>SUM(Table_2021_CIP[[#This Row],[22-23]:[47-48]])</f>
        <v>9940757</v>
      </c>
    </row>
    <row r="194" spans="1:46" ht="12.75" customHeight="1" x14ac:dyDescent="0.25">
      <c r="A194" s="25">
        <f t="shared" si="4"/>
        <v>186</v>
      </c>
      <c r="B194" t="s">
        <v>70</v>
      </c>
      <c r="C194" t="b">
        <v>0</v>
      </c>
      <c r="D194">
        <v>720</v>
      </c>
      <c r="E194">
        <v>720</v>
      </c>
      <c r="F194" t="b">
        <v>0</v>
      </c>
      <c r="G194" t="s">
        <v>71</v>
      </c>
      <c r="H194" t="s">
        <v>586</v>
      </c>
      <c r="I194" s="26" t="s">
        <v>587</v>
      </c>
      <c r="J194"/>
      <c r="K194" t="s">
        <v>77</v>
      </c>
      <c r="L194" t="s">
        <v>85</v>
      </c>
      <c r="M194" s="27">
        <v>0.5</v>
      </c>
      <c r="N194" s="28">
        <v>6</v>
      </c>
      <c r="O194" s="29" t="str">
        <f>IF(Table_2021_CIP[[#This Row],[Column2]]&lt;10,"A",IF(Table_2021_CIP[[#This Row],[Column2]]&gt;19,"C","B"))</f>
        <v>A</v>
      </c>
      <c r="P194" t="s">
        <v>588</v>
      </c>
      <c r="Q194" s="30"/>
      <c r="R194" s="30">
        <v>0</v>
      </c>
      <c r="S194" s="30">
        <v>0</v>
      </c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>
        <v>7101022</v>
      </c>
      <c r="AH194" s="30">
        <v>7314052</v>
      </c>
      <c r="AI194" s="30">
        <v>4236380</v>
      </c>
      <c r="AJ194" s="30">
        <v>4363471</v>
      </c>
      <c r="AK194" s="30">
        <v>4494375</v>
      </c>
      <c r="AL194" s="30">
        <v>4629206</v>
      </c>
      <c r="AM194" s="30">
        <v>4768082</v>
      </c>
      <c r="AN194" s="30">
        <v>20072594</v>
      </c>
      <c r="AO194" s="30">
        <v>20674772</v>
      </c>
      <c r="AP194" s="30">
        <v>21295015</v>
      </c>
      <c r="AQ194" s="30">
        <f>Table_2021_CIP[[#This Row],[TotalYR1]]+S194</f>
        <v>0</v>
      </c>
      <c r="AR194" s="30">
        <f>SUM(Table_2021_CIP[[#This Row],[TotalYR1]:[32-33]])</f>
        <v>0</v>
      </c>
      <c r="AS194" s="30">
        <f>SUM(Table_2021_CIP[[#This Row],[TotalYR1]:[47-48]])</f>
        <v>98948969</v>
      </c>
      <c r="AT194" s="24">
        <f>SUM(Table_2021_CIP[[#This Row],[22-23]:[47-48]])</f>
        <v>98948969</v>
      </c>
    </row>
    <row r="195" spans="1:46" ht="12.75" customHeight="1" x14ac:dyDescent="0.25">
      <c r="A195" s="25">
        <f t="shared" si="4"/>
        <v>187</v>
      </c>
      <c r="B195" t="s">
        <v>92</v>
      </c>
      <c r="C195" t="b">
        <v>0</v>
      </c>
      <c r="D195">
        <v>750</v>
      </c>
      <c r="E195">
        <v>750</v>
      </c>
      <c r="F195" t="b">
        <v>0</v>
      </c>
      <c r="G195" t="s">
        <v>165</v>
      </c>
      <c r="H195" t="s">
        <v>589</v>
      </c>
      <c r="I195" s="26" t="s">
        <v>590</v>
      </c>
      <c r="J195"/>
      <c r="K195" t="s">
        <v>73</v>
      </c>
      <c r="L195" t="s">
        <v>85</v>
      </c>
      <c r="M195" s="27">
        <v>0.10000000149011599</v>
      </c>
      <c r="N195" s="28">
        <v>15</v>
      </c>
      <c r="O195" s="29" t="str">
        <f>IF(Table_2021_CIP[[#This Row],[Column2]]&lt;10,"A",IF(Table_2021_CIP[[#This Row],[Column2]]&gt;19,"C","B"))</f>
        <v>B</v>
      </c>
      <c r="P195" t="s">
        <v>591</v>
      </c>
      <c r="Q195" s="30">
        <v>0</v>
      </c>
      <c r="R195" s="30">
        <v>0</v>
      </c>
      <c r="S195" s="30">
        <v>0</v>
      </c>
      <c r="T195" s="30"/>
      <c r="U195" s="30"/>
      <c r="V195" s="30"/>
      <c r="W195" s="30"/>
      <c r="X195" s="30"/>
      <c r="Y195" s="30"/>
      <c r="Z195" s="30">
        <v>2435826</v>
      </c>
      <c r="AA195" s="30">
        <v>1217913</v>
      </c>
      <c r="AB195" s="30">
        <v>1217913</v>
      </c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>
        <f>Table_2021_CIP[[#This Row],[TotalYR1]]+S195</f>
        <v>0</v>
      </c>
      <c r="AR195" s="30">
        <f>SUM(Table_2021_CIP[[#This Row],[TotalYR1]:[32-33]])</f>
        <v>3653739</v>
      </c>
      <c r="AS195" s="30">
        <f>SUM(Table_2021_CIP[[#This Row],[TotalYR1]:[47-48]])</f>
        <v>4871652</v>
      </c>
      <c r="AT195" s="24">
        <f>SUM(Table_2021_CIP[[#This Row],[22-23]:[47-48]])</f>
        <v>4871652</v>
      </c>
    </row>
    <row r="196" spans="1:46" ht="12.75" customHeight="1" x14ac:dyDescent="0.25">
      <c r="A196" s="25">
        <f t="shared" si="4"/>
        <v>188</v>
      </c>
      <c r="B196" t="s">
        <v>92</v>
      </c>
      <c r="C196" t="b">
        <v>0</v>
      </c>
      <c r="D196">
        <v>750</v>
      </c>
      <c r="E196">
        <v>750</v>
      </c>
      <c r="F196" t="b">
        <v>0</v>
      </c>
      <c r="G196" t="s">
        <v>165</v>
      </c>
      <c r="H196" t="s">
        <v>592</v>
      </c>
      <c r="I196" s="26" t="s">
        <v>593</v>
      </c>
      <c r="J196"/>
      <c r="K196" t="s">
        <v>73</v>
      </c>
      <c r="L196" t="s">
        <v>85</v>
      </c>
      <c r="M196" s="27">
        <v>0.10000000149011599</v>
      </c>
      <c r="N196" s="28">
        <v>15</v>
      </c>
      <c r="O196" s="29" t="str">
        <f>IF(Table_2021_CIP[[#This Row],[Column2]]&lt;10,"A",IF(Table_2021_CIP[[#This Row],[Column2]]&gt;19,"C","B"))</f>
        <v>B</v>
      </c>
      <c r="P196" t="s">
        <v>594</v>
      </c>
      <c r="Q196" s="30">
        <v>0</v>
      </c>
      <c r="R196" s="30">
        <v>0</v>
      </c>
      <c r="S196" s="30">
        <v>0</v>
      </c>
      <c r="T196" s="30"/>
      <c r="U196" s="30"/>
      <c r="V196" s="30"/>
      <c r="W196" s="30"/>
      <c r="X196" s="30"/>
      <c r="Y196" s="30">
        <v>1826870</v>
      </c>
      <c r="Z196" s="30">
        <v>1217913</v>
      </c>
      <c r="AA196" s="30">
        <v>1217913</v>
      </c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>
        <f>Table_2021_CIP[[#This Row],[TotalYR1]]+S196</f>
        <v>0</v>
      </c>
      <c r="AR196" s="30">
        <f>SUM(Table_2021_CIP[[#This Row],[TotalYR1]:[32-33]])</f>
        <v>4262696</v>
      </c>
      <c r="AS196" s="30">
        <f>SUM(Table_2021_CIP[[#This Row],[TotalYR1]:[47-48]])</f>
        <v>4262696</v>
      </c>
      <c r="AT196" s="24">
        <f>SUM(Table_2021_CIP[[#This Row],[22-23]:[47-48]])</f>
        <v>4262696</v>
      </c>
    </row>
    <row r="197" spans="1:46" ht="12.75" customHeight="1" x14ac:dyDescent="0.25">
      <c r="A197" s="25">
        <f t="shared" si="4"/>
        <v>189</v>
      </c>
      <c r="B197" t="s">
        <v>92</v>
      </c>
      <c r="C197" t="b">
        <v>0</v>
      </c>
      <c r="D197">
        <v>750</v>
      </c>
      <c r="E197">
        <v>750</v>
      </c>
      <c r="F197" t="b">
        <v>0</v>
      </c>
      <c r="G197" t="s">
        <v>101</v>
      </c>
      <c r="H197" t="s">
        <v>595</v>
      </c>
      <c r="I197" s="26" t="s">
        <v>596</v>
      </c>
      <c r="J197"/>
      <c r="K197" t="s">
        <v>73</v>
      </c>
      <c r="L197" t="s">
        <v>85</v>
      </c>
      <c r="M197" s="27">
        <v>0</v>
      </c>
      <c r="N197" s="28">
        <v>19</v>
      </c>
      <c r="O197" s="29" t="str">
        <f>IF(Table_2021_CIP[[#This Row],[Column2]]&lt;10,"A",IF(Table_2021_CIP[[#This Row],[Column2]]&gt;19,"C","B"))</f>
        <v>B</v>
      </c>
      <c r="P197" t="s">
        <v>597</v>
      </c>
      <c r="Q197" s="30"/>
      <c r="R197" s="30">
        <v>0</v>
      </c>
      <c r="S197" s="30">
        <v>0</v>
      </c>
      <c r="T197" s="30">
        <v>20000</v>
      </c>
      <c r="U197" s="30">
        <v>50000</v>
      </c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>
        <f>Table_2021_CIP[[#This Row],[TotalYR1]]+S197</f>
        <v>0</v>
      </c>
      <c r="AR197" s="30">
        <f>SUM(Table_2021_CIP[[#This Row],[TotalYR1]:[32-33]])</f>
        <v>70000</v>
      </c>
      <c r="AS197" s="30">
        <f>SUM(Table_2021_CIP[[#This Row],[TotalYR1]:[47-48]])</f>
        <v>70000</v>
      </c>
      <c r="AT197" s="24">
        <f>SUM(Table_2021_CIP[[#This Row],[22-23]:[47-48]])</f>
        <v>70000</v>
      </c>
    </row>
    <row r="198" spans="1:46" ht="12.75" customHeight="1" x14ac:dyDescent="0.25">
      <c r="A198" s="25">
        <f t="shared" si="4"/>
        <v>190</v>
      </c>
      <c r="B198" t="s">
        <v>92</v>
      </c>
      <c r="C198" t="b">
        <v>0</v>
      </c>
      <c r="D198">
        <v>750</v>
      </c>
      <c r="E198">
        <v>750</v>
      </c>
      <c r="F198" t="b">
        <v>0</v>
      </c>
      <c r="G198" t="s">
        <v>107</v>
      </c>
      <c r="H198" t="s">
        <v>598</v>
      </c>
      <c r="I198" s="26" t="s">
        <v>599</v>
      </c>
      <c r="J198"/>
      <c r="K198" t="s">
        <v>73</v>
      </c>
      <c r="L198" t="s">
        <v>85</v>
      </c>
      <c r="M198" s="27">
        <v>0</v>
      </c>
      <c r="N198" s="28">
        <v>12</v>
      </c>
      <c r="O198" s="29" t="str">
        <f>IF(Table_2021_CIP[[#This Row],[Column2]]&lt;10,"A",IF(Table_2021_CIP[[#This Row],[Column2]]&gt;19,"C","B"))</f>
        <v>B</v>
      </c>
      <c r="P198" t="s">
        <v>600</v>
      </c>
      <c r="Q198" s="30">
        <v>0</v>
      </c>
      <c r="R198" s="30">
        <v>0</v>
      </c>
      <c r="S198" s="30">
        <v>0</v>
      </c>
      <c r="T198" s="30"/>
      <c r="U198" s="30"/>
      <c r="V198" s="30">
        <v>250000</v>
      </c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>
        <f>Table_2021_CIP[[#This Row],[TotalYR1]]+S198</f>
        <v>0</v>
      </c>
      <c r="AR198" s="30">
        <f>SUM(Table_2021_CIP[[#This Row],[TotalYR1]:[32-33]])</f>
        <v>250000</v>
      </c>
      <c r="AS198" s="30">
        <f>SUM(Table_2021_CIP[[#This Row],[TotalYR1]:[47-48]])</f>
        <v>250000</v>
      </c>
      <c r="AT198" s="24">
        <f>SUM(Table_2021_CIP[[#This Row],[22-23]:[47-48]])</f>
        <v>250000</v>
      </c>
    </row>
    <row r="199" spans="1:46" ht="12.75" customHeight="1" x14ac:dyDescent="0.25">
      <c r="A199" s="25">
        <f t="shared" si="4"/>
        <v>191</v>
      </c>
      <c r="B199" t="s">
        <v>92</v>
      </c>
      <c r="C199" t="b">
        <v>0</v>
      </c>
      <c r="D199">
        <v>740</v>
      </c>
      <c r="E199">
        <v>740</v>
      </c>
      <c r="F199" t="b">
        <v>0</v>
      </c>
      <c r="G199" t="s">
        <v>71</v>
      </c>
      <c r="H199" t="s">
        <v>601</v>
      </c>
      <c r="I199" s="26" t="s">
        <v>602</v>
      </c>
      <c r="J199"/>
      <c r="K199" t="s">
        <v>73</v>
      </c>
      <c r="L199" t="s">
        <v>85</v>
      </c>
      <c r="M199" s="27">
        <v>0.22600000000000001</v>
      </c>
      <c r="N199" s="28">
        <v>2</v>
      </c>
      <c r="O199" s="29" t="str">
        <f>IF(Table_2021_CIP[[#This Row],[Column2]]&lt;10,"A",IF(Table_2021_CIP[[#This Row],[Column2]]&gt;19,"C","B"))</f>
        <v>A</v>
      </c>
      <c r="P199" t="s">
        <v>603</v>
      </c>
      <c r="Q199" s="30">
        <v>0</v>
      </c>
      <c r="R199" s="30">
        <v>42000</v>
      </c>
      <c r="S199" s="30">
        <v>42000</v>
      </c>
      <c r="T199" s="30">
        <v>42000</v>
      </c>
      <c r="U199" s="30">
        <v>147000</v>
      </c>
      <c r="V199" s="30">
        <v>95000</v>
      </c>
      <c r="W199" s="30">
        <v>42000</v>
      </c>
      <c r="X199" s="30">
        <v>42000</v>
      </c>
      <c r="Y199" s="30">
        <v>42000</v>
      </c>
      <c r="Z199" s="30">
        <v>42000</v>
      </c>
      <c r="AA199" s="30">
        <v>42000</v>
      </c>
      <c r="AB199" s="30">
        <v>42000</v>
      </c>
      <c r="AC199" s="30">
        <v>42000</v>
      </c>
      <c r="AD199" s="30">
        <v>42000</v>
      </c>
      <c r="AE199" s="30">
        <v>42000</v>
      </c>
      <c r="AF199" s="30">
        <v>42000</v>
      </c>
      <c r="AG199" s="30">
        <v>42000</v>
      </c>
      <c r="AH199" s="30">
        <v>42000</v>
      </c>
      <c r="AI199" s="30">
        <v>42000</v>
      </c>
      <c r="AJ199" s="30">
        <v>42000</v>
      </c>
      <c r="AK199" s="30">
        <v>42000</v>
      </c>
      <c r="AL199" s="30">
        <v>42000</v>
      </c>
      <c r="AM199" s="30">
        <v>42000</v>
      </c>
      <c r="AN199" s="30">
        <v>42000</v>
      </c>
      <c r="AO199" s="30">
        <v>42000</v>
      </c>
      <c r="AP199" s="30">
        <v>42000</v>
      </c>
      <c r="AQ199" s="30">
        <f>Table_2021_CIP[[#This Row],[TotalYR1]]+S199</f>
        <v>84000</v>
      </c>
      <c r="AR199" s="30">
        <f>SUM(Table_2021_CIP[[#This Row],[TotalYR1]:[32-33]])</f>
        <v>578000</v>
      </c>
      <c r="AS199" s="30">
        <f>SUM(Table_2021_CIP[[#This Row],[TotalYR1]:[47-48]])</f>
        <v>1208000</v>
      </c>
      <c r="AT199" s="24">
        <f>SUM(Table_2021_CIP[[#This Row],[22-23]:[47-48]])</f>
        <v>1208000</v>
      </c>
    </row>
    <row r="200" spans="1:46" ht="12.75" customHeight="1" x14ac:dyDescent="0.25">
      <c r="A200" s="25">
        <f t="shared" si="4"/>
        <v>192</v>
      </c>
      <c r="B200" t="s">
        <v>92</v>
      </c>
      <c r="C200" t="b">
        <v>0</v>
      </c>
      <c r="D200">
        <v>740</v>
      </c>
      <c r="E200">
        <v>740</v>
      </c>
      <c r="F200" t="b">
        <v>0</v>
      </c>
      <c r="G200" t="s">
        <v>71</v>
      </c>
      <c r="H200" t="s">
        <v>604</v>
      </c>
      <c r="I200" s="26" t="s">
        <v>605</v>
      </c>
      <c r="J200" t="s">
        <v>115</v>
      </c>
      <c r="K200" t="s">
        <v>73</v>
      </c>
      <c r="L200" t="s">
        <v>85</v>
      </c>
      <c r="M200" s="27">
        <v>0.22600000000000001</v>
      </c>
      <c r="N200" s="28">
        <v>2</v>
      </c>
      <c r="O200" s="29" t="str">
        <f>IF(Table_2021_CIP[[#This Row],[Column2]]&lt;10,"A",IF(Table_2021_CIP[[#This Row],[Column2]]&gt;19,"C","B"))</f>
        <v>A</v>
      </c>
      <c r="P200" t="s">
        <v>606</v>
      </c>
      <c r="Q200" s="30">
        <v>0</v>
      </c>
      <c r="R200" s="30">
        <v>0</v>
      </c>
      <c r="S200" s="30">
        <v>0</v>
      </c>
      <c r="T200" s="30">
        <v>79000</v>
      </c>
      <c r="U200" s="30">
        <v>0</v>
      </c>
      <c r="V200" s="30">
        <v>0</v>
      </c>
      <c r="W200" s="30">
        <v>0</v>
      </c>
      <c r="X200" s="30">
        <v>0</v>
      </c>
      <c r="Y200" s="30">
        <v>0</v>
      </c>
      <c r="Z200" s="30">
        <v>0</v>
      </c>
      <c r="AA200" s="30">
        <v>0</v>
      </c>
      <c r="AB200" s="30">
        <v>0</v>
      </c>
      <c r="AC200" s="30">
        <v>0</v>
      </c>
      <c r="AD200" s="30">
        <v>0</v>
      </c>
      <c r="AE200" s="30">
        <v>0</v>
      </c>
      <c r="AF200" s="30">
        <v>0</v>
      </c>
      <c r="AG200" s="30">
        <v>0</v>
      </c>
      <c r="AH200" s="30">
        <v>0</v>
      </c>
      <c r="AI200" s="30">
        <v>0</v>
      </c>
      <c r="AJ200" s="30">
        <v>0</v>
      </c>
      <c r="AK200" s="30">
        <v>0</v>
      </c>
      <c r="AL200" s="30">
        <v>0</v>
      </c>
      <c r="AM200" s="30">
        <v>0</v>
      </c>
      <c r="AN200" s="30">
        <v>0</v>
      </c>
      <c r="AO200" s="30">
        <v>0</v>
      </c>
      <c r="AP200" s="30">
        <v>0</v>
      </c>
      <c r="AQ200" s="30">
        <f>Table_2021_CIP[[#This Row],[TotalYR1]]+S200</f>
        <v>0</v>
      </c>
      <c r="AR200" s="30">
        <f>SUM(Table_2021_CIP[[#This Row],[TotalYR1]:[32-33]])</f>
        <v>79000</v>
      </c>
      <c r="AS200" s="30">
        <f>SUM(Table_2021_CIP[[#This Row],[TotalYR1]:[47-48]])</f>
        <v>79000</v>
      </c>
      <c r="AT200" s="24">
        <f>SUM(Table_2021_CIP[[#This Row],[22-23]:[47-48]])</f>
        <v>79000</v>
      </c>
    </row>
    <row r="201" spans="1:46" ht="12.75" customHeight="1" x14ac:dyDescent="0.25">
      <c r="A201" s="17">
        <f t="shared" si="4"/>
        <v>193</v>
      </c>
      <c r="B201" s="18" t="s">
        <v>92</v>
      </c>
      <c r="C201" s="18" t="b">
        <v>1</v>
      </c>
      <c r="D201" s="18">
        <v>750</v>
      </c>
      <c r="E201" s="18">
        <v>750</v>
      </c>
      <c r="F201" s="18" t="b">
        <v>0</v>
      </c>
      <c r="G201" s="18" t="s">
        <v>93</v>
      </c>
      <c r="H201" s="18" t="s">
        <v>607</v>
      </c>
      <c r="I201" s="19" t="s">
        <v>608</v>
      </c>
      <c r="J201" s="18"/>
      <c r="K201" s="18" t="s">
        <v>73</v>
      </c>
      <c r="L201" s="18" t="s">
        <v>74</v>
      </c>
      <c r="M201" s="20">
        <v>0.5</v>
      </c>
      <c r="N201" s="21">
        <v>11</v>
      </c>
      <c r="O201" s="22" t="str">
        <f>IF(Table_2021_CIP[[#This Row],[Column2]]&lt;10,"A",IF(Table_2021_CIP[[#This Row],[Column2]]&gt;19,"C","B"))</f>
        <v>B</v>
      </c>
      <c r="P201" s="18" t="s">
        <v>609</v>
      </c>
      <c r="Q201" s="23">
        <v>0</v>
      </c>
      <c r="R201" s="23">
        <v>101560</v>
      </c>
      <c r="S201" s="23">
        <v>139840</v>
      </c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>
        <f>Table_2021_CIP[[#This Row],[TotalYR1]]+S201</f>
        <v>241400</v>
      </c>
      <c r="AR201" s="23">
        <f>SUM(Table_2021_CIP[[#This Row],[TotalYR1]:[32-33]])</f>
        <v>241400</v>
      </c>
      <c r="AS201" s="23">
        <f>SUM(Table_2021_CIP[[#This Row],[TotalYR1]:[47-48]])</f>
        <v>241400</v>
      </c>
      <c r="AT201" s="24">
        <f>SUM(Table_2021_CIP[[#This Row],[22-23]:[47-48]])</f>
        <v>241400</v>
      </c>
    </row>
    <row r="202" spans="1:46" ht="12.75" customHeight="1" x14ac:dyDescent="0.25">
      <c r="A202" s="25">
        <f t="shared" si="4"/>
        <v>194</v>
      </c>
      <c r="B202" t="s">
        <v>92</v>
      </c>
      <c r="C202" t="b">
        <v>0</v>
      </c>
      <c r="D202">
        <v>740</v>
      </c>
      <c r="E202">
        <v>130</v>
      </c>
      <c r="F202" t="b">
        <v>0</v>
      </c>
      <c r="G202" t="s">
        <v>89</v>
      </c>
      <c r="H202" t="s">
        <v>610</v>
      </c>
      <c r="I202" s="26" t="s">
        <v>611</v>
      </c>
      <c r="J202" t="s">
        <v>115</v>
      </c>
      <c r="K202" t="s">
        <v>77</v>
      </c>
      <c r="L202" t="s">
        <v>85</v>
      </c>
      <c r="M202" s="27">
        <v>0.22600000000000001</v>
      </c>
      <c r="N202" s="28">
        <v>20</v>
      </c>
      <c r="O202" s="29" t="str">
        <f>IF(Table_2021_CIP[[#This Row],[Column2]]&lt;10,"A",IF(Table_2021_CIP[[#This Row],[Column2]]&gt;19,"C","B"))</f>
        <v>C</v>
      </c>
      <c r="P202" t="s">
        <v>612</v>
      </c>
      <c r="Q202" s="30">
        <v>0</v>
      </c>
      <c r="R202" s="30"/>
      <c r="S202" s="30">
        <v>0</v>
      </c>
      <c r="T202" s="30">
        <v>132721.92000000001</v>
      </c>
      <c r="U202" s="30">
        <v>0</v>
      </c>
      <c r="V202" s="30">
        <v>0</v>
      </c>
      <c r="W202" s="30">
        <v>0</v>
      </c>
      <c r="X202" s="30">
        <v>0</v>
      </c>
      <c r="Y202" s="30">
        <v>0</v>
      </c>
      <c r="Z202" s="30">
        <v>0</v>
      </c>
      <c r="AA202" s="30">
        <v>0</v>
      </c>
      <c r="AB202" s="30">
        <v>0</v>
      </c>
      <c r="AC202" s="30">
        <v>0</v>
      </c>
      <c r="AD202" s="30">
        <v>0</v>
      </c>
      <c r="AE202" s="30">
        <v>0</v>
      </c>
      <c r="AF202" s="30">
        <v>0</v>
      </c>
      <c r="AG202" s="30">
        <v>0</v>
      </c>
      <c r="AH202" s="30">
        <v>0</v>
      </c>
      <c r="AI202" s="30">
        <v>0</v>
      </c>
      <c r="AJ202" s="30">
        <v>0</v>
      </c>
      <c r="AK202" s="30">
        <v>0</v>
      </c>
      <c r="AL202" s="30">
        <v>0</v>
      </c>
      <c r="AM202" s="30">
        <v>0</v>
      </c>
      <c r="AN202" s="30">
        <v>0</v>
      </c>
      <c r="AO202" s="30">
        <v>0</v>
      </c>
      <c r="AP202" s="30">
        <v>0</v>
      </c>
      <c r="AQ202" s="30">
        <f>Table_2021_CIP[[#This Row],[TotalYR1]]+S202</f>
        <v>0</v>
      </c>
      <c r="AR202" s="30">
        <f>SUM(Table_2021_CIP[[#This Row],[TotalYR1]:[32-33]])</f>
        <v>132721.92000000001</v>
      </c>
      <c r="AS202" s="30">
        <f>SUM(Table_2021_CIP[[#This Row],[TotalYR1]:[47-48]])</f>
        <v>132721.92000000001</v>
      </c>
      <c r="AT202" s="24">
        <f>SUM(Table_2021_CIP[[#This Row],[22-23]:[47-48]])</f>
        <v>132721.92000000001</v>
      </c>
    </row>
    <row r="203" spans="1:46" ht="12.75" customHeight="1" x14ac:dyDescent="0.25">
      <c r="A203" s="25">
        <f t="shared" si="4"/>
        <v>195</v>
      </c>
      <c r="B203" t="s">
        <v>92</v>
      </c>
      <c r="C203" t="b">
        <v>0</v>
      </c>
      <c r="D203">
        <v>750</v>
      </c>
      <c r="E203">
        <v>750</v>
      </c>
      <c r="F203" t="b">
        <v>0</v>
      </c>
      <c r="G203" t="s">
        <v>101</v>
      </c>
      <c r="H203" t="s">
        <v>613</v>
      </c>
      <c r="I203" s="26" t="s">
        <v>614</v>
      </c>
      <c r="J203"/>
      <c r="K203" t="s">
        <v>73</v>
      </c>
      <c r="L203" t="s">
        <v>85</v>
      </c>
      <c r="M203" s="27">
        <v>0</v>
      </c>
      <c r="N203" s="28">
        <v>10</v>
      </c>
      <c r="O203" s="29" t="str">
        <f>IF(Table_2021_CIP[[#This Row],[Column2]]&lt;10,"A",IF(Table_2021_CIP[[#This Row],[Column2]]&gt;19,"C","B"))</f>
        <v>B</v>
      </c>
      <c r="P203" t="s">
        <v>615</v>
      </c>
      <c r="Q203" s="30">
        <v>0</v>
      </c>
      <c r="R203" s="30">
        <v>0</v>
      </c>
      <c r="S203" s="30">
        <v>0</v>
      </c>
      <c r="T203" s="30"/>
      <c r="U203" s="30"/>
      <c r="V203" s="30">
        <v>50000</v>
      </c>
      <c r="W203" s="30">
        <v>250000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>
        <f>Table_2021_CIP[[#This Row],[TotalYR1]]+S203</f>
        <v>0</v>
      </c>
      <c r="AR203" s="30">
        <f>SUM(Table_2021_CIP[[#This Row],[TotalYR1]:[32-33]])</f>
        <v>300000</v>
      </c>
      <c r="AS203" s="30">
        <f>SUM(Table_2021_CIP[[#This Row],[TotalYR1]:[47-48]])</f>
        <v>300000</v>
      </c>
      <c r="AT203" s="24">
        <f>SUM(Table_2021_CIP[[#This Row],[22-23]:[47-48]])</f>
        <v>300000</v>
      </c>
    </row>
    <row r="204" spans="1:46" ht="12.75" customHeight="1" x14ac:dyDescent="0.25">
      <c r="A204" s="25">
        <f t="shared" ref="A204:A207" si="5">A203+1</f>
        <v>196</v>
      </c>
      <c r="B204"/>
      <c r="C204" t="b">
        <v>0</v>
      </c>
      <c r="D204">
        <v>740</v>
      </c>
      <c r="E204">
        <v>740</v>
      </c>
      <c r="F204" t="b">
        <v>0</v>
      </c>
      <c r="G204" t="s">
        <v>89</v>
      </c>
      <c r="H204" t="s">
        <v>616</v>
      </c>
      <c r="I204" s="26" t="s">
        <v>617</v>
      </c>
      <c r="J204" t="s">
        <v>115</v>
      </c>
      <c r="K204" t="s">
        <v>77</v>
      </c>
      <c r="L204" t="s">
        <v>85</v>
      </c>
      <c r="M204" s="27">
        <v>0.22600000000000001</v>
      </c>
      <c r="N204" s="28">
        <v>11</v>
      </c>
      <c r="O204" s="29" t="str">
        <f>IF(Table_2021_CIP[[#This Row],[Column2]]&lt;10,"A",IF(Table_2021_CIP[[#This Row],[Column2]]&gt;19,"C","B"))</f>
        <v>B</v>
      </c>
      <c r="P204" t="s">
        <v>618</v>
      </c>
      <c r="Q204" s="30">
        <v>0</v>
      </c>
      <c r="R204" s="30">
        <v>47184</v>
      </c>
      <c r="S204" s="30">
        <v>76400</v>
      </c>
      <c r="T204" s="30">
        <v>25000</v>
      </c>
      <c r="U204" s="30">
        <v>25000</v>
      </c>
      <c r="V204" s="30">
        <v>25000</v>
      </c>
      <c r="W204" s="30">
        <v>25000</v>
      </c>
      <c r="X204" s="30">
        <v>25000</v>
      </c>
      <c r="Y204" s="30">
        <v>25000</v>
      </c>
      <c r="Z204" s="30">
        <v>25000</v>
      </c>
      <c r="AA204" s="30">
        <v>25000</v>
      </c>
      <c r="AB204" s="30">
        <v>25000</v>
      </c>
      <c r="AC204" s="30">
        <v>25000</v>
      </c>
      <c r="AD204" s="30">
        <v>25000</v>
      </c>
      <c r="AE204" s="30">
        <v>25000</v>
      </c>
      <c r="AF204" s="30">
        <v>25000</v>
      </c>
      <c r="AG204" s="30">
        <v>25000</v>
      </c>
      <c r="AH204" s="30">
        <v>25000</v>
      </c>
      <c r="AI204" s="30">
        <v>25000</v>
      </c>
      <c r="AJ204" s="30">
        <v>25000</v>
      </c>
      <c r="AK204" s="30">
        <v>25000</v>
      </c>
      <c r="AL204" s="30">
        <v>25000</v>
      </c>
      <c r="AM204" s="30">
        <v>25000</v>
      </c>
      <c r="AN204" s="30">
        <v>25000</v>
      </c>
      <c r="AO204" s="30">
        <v>25000</v>
      </c>
      <c r="AP204" s="30">
        <v>25000</v>
      </c>
      <c r="AQ204" s="30">
        <f>Table_2021_CIP[[#This Row],[TotalYR1]]+S204</f>
        <v>123584</v>
      </c>
      <c r="AR204" s="30">
        <f>SUM(Table_2021_CIP[[#This Row],[TotalYR1]:[32-33]])</f>
        <v>323584</v>
      </c>
      <c r="AS204" s="30">
        <f>SUM(Table_2021_CIP[[#This Row],[TotalYR1]:[47-48]])</f>
        <v>698584</v>
      </c>
      <c r="AT204" s="24">
        <f>SUM(Table_2021_CIP[[#This Row],[22-23]:[47-48]])</f>
        <v>698584</v>
      </c>
    </row>
    <row r="205" spans="1:46" ht="12.75" customHeight="1" x14ac:dyDescent="0.25">
      <c r="A205" s="25">
        <f t="shared" si="5"/>
        <v>197</v>
      </c>
      <c r="B205" t="s">
        <v>92</v>
      </c>
      <c r="C205" t="b">
        <v>0</v>
      </c>
      <c r="D205">
        <v>750</v>
      </c>
      <c r="E205">
        <v>750</v>
      </c>
      <c r="F205" t="b">
        <v>0</v>
      </c>
      <c r="G205" t="s">
        <v>101</v>
      </c>
      <c r="H205" t="s">
        <v>619</v>
      </c>
      <c r="I205" s="26" t="s">
        <v>620</v>
      </c>
      <c r="J205"/>
      <c r="K205" t="s">
        <v>77</v>
      </c>
      <c r="L205" t="s">
        <v>85</v>
      </c>
      <c r="M205" s="27">
        <v>0.22600000000000001</v>
      </c>
      <c r="N205" s="28">
        <v>11</v>
      </c>
      <c r="O205" s="29" t="str">
        <f>IF(Table_2021_CIP[[#This Row],[Column2]]&lt;10,"A",IF(Table_2021_CIP[[#This Row],[Column2]]&gt;19,"C","B"))</f>
        <v>B</v>
      </c>
      <c r="P205" t="s">
        <v>621</v>
      </c>
      <c r="Q205" s="30">
        <v>0</v>
      </c>
      <c r="R205" s="30">
        <v>132800</v>
      </c>
      <c r="S205" s="30">
        <v>2170912</v>
      </c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>
        <f>Table_2021_CIP[[#This Row],[TotalYR1]]+S205</f>
        <v>2303712</v>
      </c>
      <c r="AR205" s="30">
        <f>SUM(Table_2021_CIP[[#This Row],[TotalYR1]:[32-33]])</f>
        <v>2303712</v>
      </c>
      <c r="AS205" s="30">
        <f>SUM(Table_2021_CIP[[#This Row],[TotalYR1]:[47-48]])</f>
        <v>2303712</v>
      </c>
      <c r="AT205" s="24">
        <f>SUM(Table_2021_CIP[[#This Row],[22-23]:[47-48]])</f>
        <v>2303712</v>
      </c>
    </row>
    <row r="206" spans="1:46" ht="12.75" customHeight="1" x14ac:dyDescent="0.25">
      <c r="A206" s="17">
        <f t="shared" si="5"/>
        <v>198</v>
      </c>
      <c r="B206" s="18" t="s">
        <v>92</v>
      </c>
      <c r="C206" s="18" t="b">
        <v>1</v>
      </c>
      <c r="D206" s="18">
        <v>740</v>
      </c>
      <c r="E206" s="18">
        <v>750</v>
      </c>
      <c r="F206" s="18" t="b">
        <v>0</v>
      </c>
      <c r="G206" s="18" t="s">
        <v>71</v>
      </c>
      <c r="H206" s="18" t="s">
        <v>622</v>
      </c>
      <c r="I206" s="19" t="s">
        <v>623</v>
      </c>
      <c r="J206" s="18"/>
      <c r="K206" s="18" t="s">
        <v>77</v>
      </c>
      <c r="L206" s="18" t="s">
        <v>74</v>
      </c>
      <c r="M206" s="20">
        <v>0</v>
      </c>
      <c r="N206" s="21">
        <v>5</v>
      </c>
      <c r="O206" s="22" t="str">
        <f>IF(Table_2021_CIP[[#This Row],[Column2]]&lt;10,"A",IF(Table_2021_CIP[[#This Row],[Column2]]&gt;19,"C","B"))</f>
        <v>A</v>
      </c>
      <c r="P206" s="18" t="s">
        <v>624</v>
      </c>
      <c r="Q206" s="23">
        <v>147020</v>
      </c>
      <c r="R206" s="23">
        <v>203120</v>
      </c>
      <c r="S206" s="23">
        <v>0</v>
      </c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>
        <f>Table_2021_CIP[[#This Row],[TotalYR1]]+S206</f>
        <v>203120</v>
      </c>
      <c r="AR206" s="23">
        <f>SUM(Table_2021_CIP[[#This Row],[TotalYR1]:[32-33]])</f>
        <v>203120</v>
      </c>
      <c r="AS206" s="23">
        <f>SUM(Table_2021_CIP[[#This Row],[TotalYR1]:[47-48]])</f>
        <v>203120</v>
      </c>
      <c r="AT206" s="24">
        <f>SUM(Table_2021_CIP[[#This Row],[22-23]:[47-48]])</f>
        <v>350140</v>
      </c>
    </row>
    <row r="207" spans="1:46" ht="12.75" customHeight="1" x14ac:dyDescent="0.25">
      <c r="A207" s="35">
        <f t="shared" si="5"/>
        <v>199</v>
      </c>
      <c r="B207" s="34"/>
      <c r="C207" s="34" t="b">
        <v>1</v>
      </c>
      <c r="D207" s="34"/>
      <c r="E207" s="34"/>
      <c r="F207" s="34"/>
      <c r="G207" s="34" t="s">
        <v>101</v>
      </c>
      <c r="H207" s="34" t="s">
        <v>625</v>
      </c>
      <c r="I207" s="34" t="s">
        <v>625</v>
      </c>
      <c r="J207" s="34"/>
      <c r="K207" s="18" t="s">
        <v>103</v>
      </c>
      <c r="L207" s="18" t="s">
        <v>74</v>
      </c>
      <c r="M207" s="20">
        <v>0</v>
      </c>
      <c r="N207" s="36"/>
      <c r="O207" s="36" t="s">
        <v>312</v>
      </c>
      <c r="P207" s="37" t="s">
        <v>626</v>
      </c>
      <c r="Q207" s="23">
        <v>1500000</v>
      </c>
      <c r="R207" s="38"/>
      <c r="S207" s="38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>
        <f>Table_2021_CIP[[#This Row],[TotalYR1]]+S207</f>
        <v>0</v>
      </c>
      <c r="AR207" s="40">
        <f>SUM(Table_2021_CIP[[#This Row],[TotalYR1]:[32-33]])</f>
        <v>0</v>
      </c>
      <c r="AS207" s="40">
        <f>SUM(Table_2021_CIP[[#This Row],[TotalYR1]:[47-48]])</f>
        <v>0</v>
      </c>
      <c r="AT207" s="24">
        <f>SUM(Table_2021_CIP[[#This Row],[22-23]:[47-48]])</f>
        <v>1500000</v>
      </c>
    </row>
    <row r="208" spans="1:46" ht="12.75" customHeight="1" x14ac:dyDescent="0.25">
      <c r="B208"/>
      <c r="C208"/>
      <c r="D208"/>
      <c r="E208"/>
      <c r="F208"/>
      <c r="G208"/>
      <c r="H208"/>
      <c r="I208" s="26"/>
      <c r="J208"/>
      <c r="K208"/>
      <c r="L208"/>
      <c r="M208"/>
      <c r="N208"/>
      <c r="O208"/>
      <c r="P208"/>
      <c r="Q208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24"/>
      <c r="AS208" s="24"/>
      <c r="AT208" s="24"/>
    </row>
    <row r="209" spans="2:47" ht="12.75" customHeight="1" x14ac:dyDescent="0.25">
      <c r="B209"/>
      <c r="C209"/>
      <c r="D209"/>
      <c r="E209"/>
      <c r="F209"/>
      <c r="G209"/>
      <c r="H209"/>
      <c r="I209" s="26"/>
      <c r="J209"/>
      <c r="K209"/>
      <c r="L209"/>
      <c r="M209"/>
      <c r="N209"/>
      <c r="O209"/>
      <c r="P209"/>
      <c r="Q209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24"/>
      <c r="AS209" s="24"/>
      <c r="AT209" s="24"/>
    </row>
    <row r="210" spans="2:47" ht="12.75" customHeight="1" x14ac:dyDescent="0.2">
      <c r="Q210" s="42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</row>
    <row r="211" spans="2:47" x14ac:dyDescent="0.2">
      <c r="Q211" s="24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24"/>
      <c r="AR211" s="24"/>
      <c r="AU211" s="24"/>
    </row>
    <row r="212" spans="2:47" x14ac:dyDescent="0.25">
      <c r="P212" s="44" t="s">
        <v>627</v>
      </c>
      <c r="Q212" s="45">
        <f>SUM(Q9:Q207)</f>
        <v>41939864.229999997</v>
      </c>
      <c r="R212" s="45">
        <f t="shared" ref="R212:AP212" si="6">SUM(R9:R206)</f>
        <v>58640874.051299989</v>
      </c>
      <c r="S212" s="45">
        <f t="shared" si="6"/>
        <v>61146220.866650008</v>
      </c>
      <c r="T212" s="45">
        <f t="shared" si="6"/>
        <v>72969378.706899986</v>
      </c>
      <c r="U212" s="45">
        <f t="shared" si="6"/>
        <v>62936620.333599992</v>
      </c>
      <c r="V212" s="45">
        <f t="shared" si="6"/>
        <v>72504898.00999999</v>
      </c>
      <c r="W212" s="45">
        <f t="shared" si="6"/>
        <v>84442411.539000005</v>
      </c>
      <c r="X212" s="45">
        <f t="shared" si="6"/>
        <v>76265090.25</v>
      </c>
      <c r="Y212" s="45">
        <f t="shared" si="6"/>
        <v>70716588.989999995</v>
      </c>
      <c r="Z212" s="45">
        <f t="shared" si="6"/>
        <v>78278250.74000001</v>
      </c>
      <c r="AA212" s="45">
        <f t="shared" si="6"/>
        <v>89570701.120000005</v>
      </c>
      <c r="AB212" s="45">
        <f t="shared" si="6"/>
        <v>60118316.670000002</v>
      </c>
      <c r="AC212" s="45">
        <f t="shared" si="6"/>
        <v>50732141.369999997</v>
      </c>
      <c r="AD212" s="45">
        <f t="shared" si="6"/>
        <v>75584549.659999996</v>
      </c>
      <c r="AE212" s="45">
        <f t="shared" si="6"/>
        <v>79724561.189999998</v>
      </c>
      <c r="AF212" s="45">
        <f t="shared" si="6"/>
        <v>61852268.609999999</v>
      </c>
      <c r="AG212" s="45">
        <f t="shared" si="6"/>
        <v>64398715.200000003</v>
      </c>
      <c r="AH212" s="45">
        <f t="shared" si="6"/>
        <v>67018385.200000003</v>
      </c>
      <c r="AI212" s="45">
        <f t="shared" si="6"/>
        <v>72136162.200000003</v>
      </c>
      <c r="AJ212" s="45">
        <f t="shared" si="6"/>
        <v>70844685.200000003</v>
      </c>
      <c r="AK212" s="45">
        <f t="shared" si="6"/>
        <v>64155184.200000003</v>
      </c>
      <c r="AL212" s="45">
        <f t="shared" si="6"/>
        <v>62982959.200000003</v>
      </c>
      <c r="AM212" s="45">
        <f t="shared" si="6"/>
        <v>80810996.200000003</v>
      </c>
      <c r="AN212" s="45">
        <f t="shared" si="6"/>
        <v>97762044.200000003</v>
      </c>
      <c r="AO212" s="45">
        <f t="shared" si="6"/>
        <v>77803374.200000003</v>
      </c>
      <c r="AP212" s="45">
        <f t="shared" si="6"/>
        <v>79224914.200000003</v>
      </c>
      <c r="AQ212" s="45">
        <f>SUM(AQ9:AQ207)</f>
        <v>119787094.91794999</v>
      </c>
      <c r="AR212" s="46">
        <f>SUM(AR9:AR207)</f>
        <v>727471034.60745013</v>
      </c>
      <c r="AS212" s="46">
        <f>SUM(AS9:AS207)</f>
        <v>1792620292.1074502</v>
      </c>
    </row>
    <row r="213" spans="2:47" x14ac:dyDescent="0.2">
      <c r="P213" s="44" t="s">
        <v>14</v>
      </c>
      <c r="Q213" s="30" cm="1">
        <f t="array" ref="Q213">SUMPRODUCT(Q9:Q207*$M9:$M207)</f>
        <v>5343311.3150256304</v>
      </c>
      <c r="R213" s="30" cm="1">
        <f t="array" ref="R213">SUMPRODUCT(R9:R207*$M9:$M207)</f>
        <v>8872673.5900267288</v>
      </c>
      <c r="S213" s="45" cm="1">
        <f t="array" ref="S213">SUMPRODUCT(S9:S207*$M9:$M207)</f>
        <v>9718614.967802614</v>
      </c>
      <c r="T213" s="30" cm="1">
        <f t="array" ref="T213">SUMPRODUCT(T9:T207*$M9:$M207)</f>
        <v>13322463.639786622</v>
      </c>
      <c r="U213" s="30" cm="1">
        <f t="array" ref="U213">SUMPRODUCT(U9:U207*$M9:$M207)</f>
        <v>12115875.603548797</v>
      </c>
      <c r="V213" s="30" cm="1">
        <f t="array" ref="V213">SUMPRODUCT(V9:V207*$M9:$M207)</f>
        <v>13519491.772917332</v>
      </c>
      <c r="W213" s="30" cm="1">
        <f t="array" ref="W213">SUMPRODUCT(W9:W207*$M9:$M207)</f>
        <v>20310968.921365522</v>
      </c>
      <c r="X213" s="30" cm="1">
        <f t="array" ref="X213">SUMPRODUCT(X9:X207*$M9:$M207)</f>
        <v>19581470.514630921</v>
      </c>
      <c r="Y213" s="30" cm="1">
        <f t="array" ref="Y213">SUMPRODUCT(Y9:Y207*$M9:$M207)</f>
        <v>20021674.077354942</v>
      </c>
      <c r="Z213" s="30" cm="1">
        <f t="array" ref="Z213">SUMPRODUCT(Z9:Z207*$M9:$M207)</f>
        <v>17644543.726619512</v>
      </c>
      <c r="AA213" s="30" cm="1">
        <f t="array" ref="AA213">SUMPRODUCT(AA9:AA207*$M9:$M207)</f>
        <v>25315085.781227492</v>
      </c>
      <c r="AB213" s="30" cm="1">
        <f t="array" ref="AB213">SUMPRODUCT(AB9:AB207*$M9:$M207)</f>
        <v>11623730.008872433</v>
      </c>
      <c r="AC213" s="30" cm="1">
        <f t="array" ref="AC213">SUMPRODUCT(AC9:AC207*$M9:$M207)</f>
        <v>9681665.4481691215</v>
      </c>
      <c r="AD213" s="30" cm="1">
        <f t="array" ref="AD213">SUMPRODUCT(AD9:AD207*$M9:$M207)</f>
        <v>27247477.438116394</v>
      </c>
      <c r="AE213" s="30" cm="1">
        <f t="array" ref="AE213">SUMPRODUCT(AE9:AE207*$M9:$M207)</f>
        <v>28346119.824610565</v>
      </c>
      <c r="AF213" s="30" cm="1">
        <f t="array" ref="AF213">SUMPRODUCT(AF9:AF207*$M9:$M207)</f>
        <v>14610007.813610567</v>
      </c>
      <c r="AG213" s="30" cm="1">
        <f t="array" ref="AG213">SUMPRODUCT(AG9:AG207*$M9:$M207)</f>
        <v>14709825.256483097</v>
      </c>
      <c r="AH213" s="30" cm="1">
        <f t="array" ref="AH213">SUMPRODUCT(AH9:AH207*$M9:$M207)</f>
        <v>14661102.897600682</v>
      </c>
      <c r="AI213" s="30" cm="1">
        <f t="array" ref="AI213">SUMPRODUCT(AI9:AI207*$M9:$M207)</f>
        <v>14929842.372606512</v>
      </c>
      <c r="AJ213" s="30" cm="1">
        <f t="array" ref="AJ213">SUMPRODUCT(AJ9:AJ207*$M9:$M207)</f>
        <v>15324315.502110567</v>
      </c>
      <c r="AK213" s="30" cm="1">
        <f t="array" ref="AK213">SUMPRODUCT(AK9:AK207*$M9:$M207)</f>
        <v>13177587.972110566</v>
      </c>
      <c r="AL213" s="30" cm="1">
        <f t="array" ref="AL213">SUMPRODUCT(AL9:AL207*$M9:$M207)</f>
        <v>13354258.817004636</v>
      </c>
      <c r="AM213" s="30" cm="1">
        <f t="array" ref="AM213">SUMPRODUCT(AM9:AM207*$M9:$M207)</f>
        <v>15281913.549938245</v>
      </c>
      <c r="AN213" s="30" cm="1">
        <f t="array" ref="AN213">SUMPRODUCT(AN9:AN207*$M9:$M207)</f>
        <v>22986440.365938485</v>
      </c>
      <c r="AO213" s="30" cm="1">
        <f t="array" ref="AO213">SUMPRODUCT(AO9:AO207*$M9:$M207)</f>
        <v>21473851.690110564</v>
      </c>
      <c r="AP213" s="30" cm="1">
        <f t="array" ref="AP213">SUMPRODUCT(AP9:AP207*$M9:$M207)</f>
        <v>21839410.312110566</v>
      </c>
      <c r="AQ213" s="30" cm="1">
        <f t="array" ref="AQ213">SUMPRODUCT(AQ9:AQ207*$M9:$M207)</f>
        <v>18591288.557829343</v>
      </c>
      <c r="AR213" s="30" cm="1">
        <f t="array" ref="AR213">SUMPRODUCT(AR9:AR207*$M9:$M207)</f>
        <v>160422862.59528047</v>
      </c>
      <c r="AS213" s="30" cm="1">
        <f t="array" ref="AS213">SUMPRODUCT(AS9:AS207*$M9:$M207)</f>
        <v>419670411.8646735</v>
      </c>
    </row>
    <row r="214" spans="2:47" x14ac:dyDescent="0.2">
      <c r="P214" s="44" t="s">
        <v>13</v>
      </c>
      <c r="Q214" s="30">
        <v>4519146.6898175692</v>
      </c>
      <c r="R214" s="30">
        <v>7575494</v>
      </c>
      <c r="S214" s="45">
        <v>8370301</v>
      </c>
      <c r="T214" s="30">
        <v>11043632</v>
      </c>
      <c r="U214" s="30">
        <v>10764429</v>
      </c>
      <c r="V214" s="30">
        <v>11880209</v>
      </c>
      <c r="W214" s="30">
        <v>17966704</v>
      </c>
      <c r="X214" s="30">
        <v>17555704</v>
      </c>
      <c r="Y214" s="30">
        <v>9277409</v>
      </c>
      <c r="Z214" s="30">
        <v>13034717</v>
      </c>
      <c r="AA214" s="30">
        <v>21540085</v>
      </c>
      <c r="AB214" s="30">
        <v>9229757</v>
      </c>
      <c r="AC214" s="30">
        <v>7464558</v>
      </c>
      <c r="AD214" s="30">
        <v>29215998</v>
      </c>
      <c r="AE214" s="30">
        <v>25903364</v>
      </c>
      <c r="AF214" s="30">
        <v>12126002</v>
      </c>
      <c r="AG214" s="30">
        <v>8519820</v>
      </c>
      <c r="AH214" s="30">
        <v>8320820</v>
      </c>
      <c r="AI214" s="30">
        <v>8388320</v>
      </c>
      <c r="AJ214" s="30">
        <v>8220820</v>
      </c>
      <c r="AK214" s="30">
        <v>8220820</v>
      </c>
      <c r="AL214" s="30">
        <v>8220820</v>
      </c>
      <c r="AM214" s="30">
        <v>10028304</v>
      </c>
      <c r="AN214" s="30">
        <v>10088320</v>
      </c>
      <c r="AO214" s="30">
        <v>8220820</v>
      </c>
      <c r="AP214" s="30">
        <v>8220820</v>
      </c>
      <c r="AQ214" s="30">
        <f>SUM(R214:S214)</f>
        <v>15945795</v>
      </c>
      <c r="AR214" s="30">
        <f>SUM(R214:AA214)</f>
        <v>129008684</v>
      </c>
      <c r="AS214" s="30">
        <f>SUM(R214:AP214)</f>
        <v>299398047</v>
      </c>
    </row>
    <row r="215" spans="2:47" x14ac:dyDescent="0.2">
      <c r="P215" s="44" t="s">
        <v>628</v>
      </c>
      <c r="Q215" s="30">
        <f t="shared" ref="Q215:AS215" si="7">Q128</f>
        <v>4458709.28</v>
      </c>
      <c r="R215" s="30">
        <f t="shared" si="7"/>
        <v>3799998.5</v>
      </c>
      <c r="S215" s="30">
        <f t="shared" si="7"/>
        <v>3799998.5</v>
      </c>
      <c r="T215" s="30">
        <f t="shared" si="7"/>
        <v>3799998.5</v>
      </c>
      <c r="U215" s="30">
        <f t="shared" si="7"/>
        <v>3799998.5</v>
      </c>
      <c r="V215" s="30">
        <f t="shared" si="7"/>
        <v>3799998.5</v>
      </c>
      <c r="W215" s="30">
        <f t="shared" si="7"/>
        <v>3000000</v>
      </c>
      <c r="X215" s="30">
        <f t="shared" si="7"/>
        <v>3000000</v>
      </c>
      <c r="Y215" s="30">
        <f t="shared" si="7"/>
        <v>3000000</v>
      </c>
      <c r="Z215" s="30">
        <f t="shared" si="7"/>
        <v>3000000</v>
      </c>
      <c r="AA215" s="30">
        <f t="shared" si="7"/>
        <v>3000000</v>
      </c>
      <c r="AB215" s="30">
        <f t="shared" si="7"/>
        <v>3000000</v>
      </c>
      <c r="AC215" s="30">
        <f t="shared" si="7"/>
        <v>3000000</v>
      </c>
      <c r="AD215" s="30">
        <f t="shared" si="7"/>
        <v>3000000</v>
      </c>
      <c r="AE215" s="30">
        <f t="shared" si="7"/>
        <v>3000000</v>
      </c>
      <c r="AF215" s="30">
        <f t="shared" si="7"/>
        <v>3000000</v>
      </c>
      <c r="AG215" s="30">
        <f t="shared" si="7"/>
        <v>3000000</v>
      </c>
      <c r="AH215" s="30">
        <f t="shared" si="7"/>
        <v>3000000</v>
      </c>
      <c r="AI215" s="30">
        <f t="shared" si="7"/>
        <v>3000000</v>
      </c>
      <c r="AJ215" s="30">
        <f t="shared" si="7"/>
        <v>3000000</v>
      </c>
      <c r="AK215" s="30">
        <f t="shared" si="7"/>
        <v>3000000</v>
      </c>
      <c r="AL215" s="30">
        <f t="shared" si="7"/>
        <v>3000000</v>
      </c>
      <c r="AM215" s="30">
        <f t="shared" si="7"/>
        <v>3000000</v>
      </c>
      <c r="AN215" s="30">
        <f t="shared" si="7"/>
        <v>3000000</v>
      </c>
      <c r="AO215" s="30">
        <f t="shared" si="7"/>
        <v>3000000</v>
      </c>
      <c r="AP215" s="30">
        <f t="shared" si="7"/>
        <v>3000000</v>
      </c>
      <c r="AQ215" s="30">
        <f t="shared" si="7"/>
        <v>7599997</v>
      </c>
      <c r="AR215" s="30">
        <f t="shared" si="7"/>
        <v>33999992.5</v>
      </c>
      <c r="AS215" s="30">
        <f t="shared" si="7"/>
        <v>78999992.5</v>
      </c>
    </row>
    <row r="216" spans="2:47" x14ac:dyDescent="0.2">
      <c r="P216" s="47" t="s">
        <v>629</v>
      </c>
      <c r="Q216" s="30">
        <f>Q212-Q213-Q214-Q215</f>
        <v>27618696.945156798</v>
      </c>
      <c r="R216" s="30">
        <f>R212-R213-R214-R215</f>
        <v>38392707.96127326</v>
      </c>
      <c r="S216" s="45">
        <f>S212-S213-S214-S215</f>
        <v>39257306.398847394</v>
      </c>
      <c r="T216" s="30">
        <f>T212-T213-T214-T215</f>
        <v>44803284.567113362</v>
      </c>
      <c r="U216" s="30">
        <f t="shared" ref="U216:AS216" si="8">U212-U213-U214-U215</f>
        <v>36256317.230051197</v>
      </c>
      <c r="V216" s="30">
        <f t="shared" si="8"/>
        <v>43305198.73708266</v>
      </c>
      <c r="W216" s="30">
        <f t="shared" si="8"/>
        <v>43164738.617634483</v>
      </c>
      <c r="X216" s="30">
        <f t="shared" si="8"/>
        <v>36127915.735369079</v>
      </c>
      <c r="Y216" s="30">
        <f t="shared" si="8"/>
        <v>38417505.912645057</v>
      </c>
      <c r="Z216" s="30">
        <f t="shared" si="8"/>
        <v>44598990.013380498</v>
      </c>
      <c r="AA216" s="30">
        <f t="shared" si="8"/>
        <v>39715530.338772513</v>
      </c>
      <c r="AB216" s="30">
        <f t="shared" si="8"/>
        <v>36264829.661127567</v>
      </c>
      <c r="AC216" s="30">
        <f t="shared" si="8"/>
        <v>30585917.921830878</v>
      </c>
      <c r="AD216" s="30">
        <f t="shared" si="8"/>
        <v>16121074.221883602</v>
      </c>
      <c r="AE216" s="30">
        <f t="shared" si="8"/>
        <v>22475077.365389436</v>
      </c>
      <c r="AF216" s="30">
        <f t="shared" si="8"/>
        <v>32116258.796389431</v>
      </c>
      <c r="AG216" s="30">
        <f t="shared" si="8"/>
        <v>38169069.94351691</v>
      </c>
      <c r="AH216" s="30">
        <f t="shared" si="8"/>
        <v>41036462.302399322</v>
      </c>
      <c r="AI216" s="30">
        <f t="shared" si="8"/>
        <v>45817999.827393487</v>
      </c>
      <c r="AJ216" s="30">
        <f t="shared" si="8"/>
        <v>44299549.697889432</v>
      </c>
      <c r="AK216" s="30">
        <f t="shared" si="8"/>
        <v>39756776.227889434</v>
      </c>
      <c r="AL216" s="30">
        <f t="shared" si="8"/>
        <v>38407880.382995367</v>
      </c>
      <c r="AM216" s="30">
        <f t="shared" si="8"/>
        <v>52500778.650061756</v>
      </c>
      <c r="AN216" s="30">
        <f t="shared" si="8"/>
        <v>61687283.834061518</v>
      </c>
      <c r="AO216" s="30">
        <f t="shared" si="8"/>
        <v>45108702.509889439</v>
      </c>
      <c r="AP216" s="30">
        <f t="shared" si="8"/>
        <v>46164683.887889437</v>
      </c>
      <c r="AQ216" s="30">
        <f t="shared" si="8"/>
        <v>77650014.360120654</v>
      </c>
      <c r="AR216" s="30">
        <f t="shared" si="8"/>
        <v>404039495.5121696</v>
      </c>
      <c r="AS216" s="30">
        <f t="shared" si="8"/>
        <v>994551840.74277687</v>
      </c>
    </row>
    <row r="217" spans="2:47" x14ac:dyDescent="0.2">
      <c r="P217" s="48" t="s">
        <v>630</v>
      </c>
      <c r="Q217" s="23">
        <f t="shared" ref="Q217:AS217" si="9">SUMIF($C9:$C206,"TRUE",Q9:Q206)</f>
        <v>2581943.4700000002</v>
      </c>
      <c r="R217" s="23">
        <f t="shared" si="9"/>
        <v>3872993.0808000001</v>
      </c>
      <c r="S217" s="49">
        <f t="shared" si="9"/>
        <v>3529744</v>
      </c>
      <c r="T217" s="23">
        <f t="shared" si="9"/>
        <v>3493916</v>
      </c>
      <c r="U217" s="23">
        <f t="shared" si="9"/>
        <v>1533585</v>
      </c>
      <c r="V217" s="23">
        <f t="shared" si="9"/>
        <v>963844</v>
      </c>
      <c r="W217" s="23">
        <f t="shared" si="9"/>
        <v>3960966.344</v>
      </c>
      <c r="X217" s="23">
        <f t="shared" si="9"/>
        <v>3292092</v>
      </c>
      <c r="Y217" s="23">
        <f t="shared" si="9"/>
        <v>24880365</v>
      </c>
      <c r="Z217" s="23">
        <f t="shared" si="9"/>
        <v>9443226</v>
      </c>
      <c r="AA217" s="23">
        <f t="shared" si="9"/>
        <v>7550673</v>
      </c>
      <c r="AB217" s="23">
        <f t="shared" si="9"/>
        <v>6172843</v>
      </c>
      <c r="AC217" s="23">
        <f t="shared" si="9"/>
        <v>6409878</v>
      </c>
      <c r="AD217" s="23">
        <f t="shared" si="9"/>
        <v>6211925</v>
      </c>
      <c r="AE217" s="23">
        <f t="shared" si="9"/>
        <v>6159132</v>
      </c>
      <c r="AF217" s="23">
        <f t="shared" si="9"/>
        <v>6351656</v>
      </c>
      <c r="AG217" s="23">
        <f t="shared" si="9"/>
        <v>6959656</v>
      </c>
      <c r="AH217" s="23">
        <f t="shared" si="9"/>
        <v>7223296</v>
      </c>
      <c r="AI217" s="23">
        <f t="shared" si="9"/>
        <v>15152745</v>
      </c>
      <c r="AJ217" s="23">
        <f t="shared" si="9"/>
        <v>17058177</v>
      </c>
      <c r="AK217" s="23">
        <f t="shared" si="9"/>
        <v>7419772</v>
      </c>
      <c r="AL217" s="23">
        <f t="shared" si="9"/>
        <v>8687716</v>
      </c>
      <c r="AM217" s="23">
        <f t="shared" si="9"/>
        <v>8912197</v>
      </c>
      <c r="AN217" s="23">
        <f t="shared" si="9"/>
        <v>8313413</v>
      </c>
      <c r="AO217" s="23">
        <f t="shared" si="9"/>
        <v>8181565</v>
      </c>
      <c r="AP217" s="23">
        <f t="shared" si="9"/>
        <v>8506862</v>
      </c>
      <c r="AQ217" s="23">
        <f t="shared" si="9"/>
        <v>7402737.0807999996</v>
      </c>
      <c r="AR217" s="23">
        <f t="shared" si="9"/>
        <v>62521404.424800001</v>
      </c>
      <c r="AS217" s="23">
        <f t="shared" si="9"/>
        <v>190242237.42480001</v>
      </c>
    </row>
    <row r="218" spans="2:47" ht="15.75" thickBot="1" x14ac:dyDescent="0.25">
      <c r="P218" s="50" t="s">
        <v>631</v>
      </c>
      <c r="Q218" s="30">
        <f>Q216-Q217</f>
        <v>25036753.475156799</v>
      </c>
      <c r="R218" s="30">
        <f>R216-R217</f>
        <v>34519714.880473264</v>
      </c>
      <c r="S218" s="45">
        <f>S216-S217</f>
        <v>35727562.398847394</v>
      </c>
      <c r="T218" s="30">
        <f>T216-T217</f>
        <v>41309368.567113362</v>
      </c>
      <c r="U218" s="30">
        <f t="shared" ref="U218:AS218" si="10">U216-U217</f>
        <v>34722732.230051197</v>
      </c>
      <c r="V218" s="30">
        <f t="shared" si="10"/>
        <v>42341354.73708266</v>
      </c>
      <c r="W218" s="30">
        <f t="shared" si="10"/>
        <v>39203772.273634486</v>
      </c>
      <c r="X218" s="30">
        <f t="shared" si="10"/>
        <v>32835823.735369079</v>
      </c>
      <c r="Y218" s="30">
        <f t="shared" si="10"/>
        <v>13537140.912645057</v>
      </c>
      <c r="Z218" s="30">
        <f t="shared" si="10"/>
        <v>35155764.013380498</v>
      </c>
      <c r="AA218" s="30">
        <f t="shared" si="10"/>
        <v>32164857.338772513</v>
      </c>
      <c r="AB218" s="30">
        <f t="shared" si="10"/>
        <v>30091986.661127567</v>
      </c>
      <c r="AC218" s="30">
        <f t="shared" si="10"/>
        <v>24176039.921830878</v>
      </c>
      <c r="AD218" s="30">
        <f t="shared" si="10"/>
        <v>9909149.2218836024</v>
      </c>
      <c r="AE218" s="30">
        <f t="shared" si="10"/>
        <v>16315945.365389436</v>
      </c>
      <c r="AF218" s="30">
        <f t="shared" si="10"/>
        <v>25764602.796389431</v>
      </c>
      <c r="AG218" s="30">
        <f t="shared" si="10"/>
        <v>31209413.94351691</v>
      </c>
      <c r="AH218" s="30">
        <f t="shared" si="10"/>
        <v>33813166.302399322</v>
      </c>
      <c r="AI218" s="30">
        <f t="shared" si="10"/>
        <v>30665254.827393487</v>
      </c>
      <c r="AJ218" s="30">
        <f t="shared" si="10"/>
        <v>27241372.697889432</v>
      </c>
      <c r="AK218" s="30">
        <f t="shared" si="10"/>
        <v>32337004.227889434</v>
      </c>
      <c r="AL218" s="30">
        <f t="shared" si="10"/>
        <v>29720164.382995367</v>
      </c>
      <c r="AM218" s="30">
        <f t="shared" si="10"/>
        <v>43588581.650061756</v>
      </c>
      <c r="AN218" s="30">
        <f t="shared" si="10"/>
        <v>53373870.834061518</v>
      </c>
      <c r="AO218" s="30">
        <f t="shared" si="10"/>
        <v>36927137.509889439</v>
      </c>
      <c r="AP218" s="30">
        <f t="shared" si="10"/>
        <v>37657821.887889437</v>
      </c>
      <c r="AQ218" s="30">
        <f t="shared" si="10"/>
        <v>70247277.279320657</v>
      </c>
      <c r="AR218" s="30">
        <f t="shared" si="10"/>
        <v>341518091.08736962</v>
      </c>
      <c r="AS218" s="30">
        <f t="shared" si="10"/>
        <v>804309603.31797683</v>
      </c>
    </row>
    <row r="219" spans="2:47" ht="15.75" thickTop="1" x14ac:dyDescent="0.2">
      <c r="P219" s="44" t="s">
        <v>632</v>
      </c>
      <c r="Q219" s="30">
        <f>Q212-Q215</f>
        <v>37481154.949999996</v>
      </c>
      <c r="R219" s="30">
        <f>R212-R215</f>
        <v>54840875.551299989</v>
      </c>
      <c r="S219" s="45">
        <f>S212-S215</f>
        <v>57346222.366650008</v>
      </c>
      <c r="T219" s="30">
        <f>T212-T215</f>
        <v>69169380.206899986</v>
      </c>
      <c r="U219" s="30">
        <f t="shared" ref="U219:AR219" si="11">U212-U215</f>
        <v>59136621.833599992</v>
      </c>
      <c r="V219" s="30">
        <f t="shared" si="11"/>
        <v>68704899.50999999</v>
      </c>
      <c r="W219" s="30">
        <f t="shared" si="11"/>
        <v>81442411.539000005</v>
      </c>
      <c r="X219" s="30">
        <f t="shared" si="11"/>
        <v>73265090.25</v>
      </c>
      <c r="Y219" s="30">
        <f t="shared" si="11"/>
        <v>67716588.989999995</v>
      </c>
      <c r="Z219" s="30">
        <f t="shared" si="11"/>
        <v>75278250.74000001</v>
      </c>
      <c r="AA219" s="30">
        <f t="shared" si="11"/>
        <v>86570701.120000005</v>
      </c>
      <c r="AB219" s="30">
        <f t="shared" si="11"/>
        <v>57118316.670000002</v>
      </c>
      <c r="AC219" s="30">
        <f t="shared" si="11"/>
        <v>47732141.369999997</v>
      </c>
      <c r="AD219" s="30">
        <f t="shared" si="11"/>
        <v>72584549.659999996</v>
      </c>
      <c r="AE219" s="30">
        <f t="shared" si="11"/>
        <v>76724561.189999998</v>
      </c>
      <c r="AF219" s="30">
        <f t="shared" si="11"/>
        <v>58852268.609999999</v>
      </c>
      <c r="AG219" s="30">
        <f t="shared" si="11"/>
        <v>61398715.200000003</v>
      </c>
      <c r="AH219" s="30">
        <f t="shared" si="11"/>
        <v>64018385.200000003</v>
      </c>
      <c r="AI219" s="30">
        <f t="shared" si="11"/>
        <v>69136162.200000003</v>
      </c>
      <c r="AJ219" s="30">
        <f t="shared" si="11"/>
        <v>67844685.200000003</v>
      </c>
      <c r="AK219" s="30">
        <f t="shared" si="11"/>
        <v>61155184.200000003</v>
      </c>
      <c r="AL219" s="30">
        <f t="shared" si="11"/>
        <v>59982959.200000003</v>
      </c>
      <c r="AM219" s="30">
        <f t="shared" si="11"/>
        <v>77810996.200000003</v>
      </c>
      <c r="AN219" s="30">
        <f t="shared" si="11"/>
        <v>94762044.200000003</v>
      </c>
      <c r="AO219" s="30">
        <f t="shared" si="11"/>
        <v>74803374.200000003</v>
      </c>
      <c r="AP219" s="30">
        <f t="shared" si="11"/>
        <v>76224914.200000003</v>
      </c>
      <c r="AQ219" s="30">
        <f t="shared" si="11"/>
        <v>112187097.91794999</v>
      </c>
      <c r="AR219" s="30">
        <f t="shared" si="11"/>
        <v>693471042.10745013</v>
      </c>
      <c r="AS219" s="30">
        <f>AS212-AS215</f>
        <v>1713620299.6074502</v>
      </c>
    </row>
    <row r="222" spans="2:47" x14ac:dyDescent="0.2">
      <c r="R222" s="51"/>
    </row>
  </sheetData>
  <mergeCells count="43">
    <mergeCell ref="H5:O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Z6:Z7"/>
    <mergeCell ref="L6:L7"/>
    <mergeCell ref="M6:M7"/>
    <mergeCell ref="N6:N7"/>
    <mergeCell ref="O6:O7"/>
    <mergeCell ref="P6:P7"/>
    <mergeCell ref="T6:T7"/>
    <mergeCell ref="U6:U7"/>
    <mergeCell ref="V6:V7"/>
    <mergeCell ref="W6:W7"/>
    <mergeCell ref="X6:X7"/>
    <mergeCell ref="Y6:Y7"/>
    <mergeCell ref="AB6:AB7"/>
    <mergeCell ref="AC6:AC7"/>
    <mergeCell ref="AD6:AD7"/>
    <mergeCell ref="AE6:AE7"/>
    <mergeCell ref="AF6:AF7"/>
    <mergeCell ref="AS6:AS7"/>
    <mergeCell ref="I4:L4"/>
    <mergeCell ref="M4:O4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  <mergeCell ref="AL6:AL7"/>
    <mergeCell ref="AA6:AA7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2DocumentOwner xmlns="0246a2b8-9b20-48ad-98f9-08cd18bc5df4">
      <UserInfo>
        <DisplayName/>
        <AccountId xsi:nil="true"/>
        <AccountType/>
      </UserInfo>
    </GO2DocumentOwner>
    <Classification xmlns="0246a2b8-9b20-48ad-98f9-08cd18bc5df4" xsi:nil="true"/>
    <GO2DocumentType_0 xmlns="0246a2b8-9b20-48ad-98f9-08cd18bc5df4">
      <Terms xmlns="http://schemas.microsoft.com/office/infopath/2007/PartnerControls"/>
    </GO2DocumentType_0>
    <a0ed4e9730ff47178037e20bee36713d xmlns="0246a2b8-9b20-48ad-98f9-08cd18bc5df4">
      <Terms xmlns="http://schemas.microsoft.com/office/infopath/2007/PartnerControls"/>
    </a0ed4e9730ff47178037e20bee36713d>
    <RecordDate xmlns="0246a2b8-9b20-48ad-98f9-08cd18bc5df4">2023-12-11T21:46:26+00:00</RecordDate>
    <p8b16c921f0947cfa26bbd5f4a5db6c1 xmlns="0246a2b8-9b20-48ad-98f9-08cd18bc5df4">
      <Terms xmlns="http://schemas.microsoft.com/office/infopath/2007/PartnerControls"/>
    </p8b16c921f0947cfa26bbd5f4a5db6c1>
    <GO2BusinessUnit_0 xmlns="0246a2b8-9b20-48ad-98f9-08cd18bc5d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Bud ＆ Fin Analysis</TermName>
          <TermId xmlns="http://schemas.microsoft.com/office/infopath/2007/PartnerControls">93eb7100-b770-49ab-a281-a8a7e04dc73d</TermId>
        </TermInfo>
      </Terms>
    </GO2BusinessUnit_0>
    <Parties xmlns="0246a2b8-9b20-48ad-98f9-08cd18bc5df4" xsi:nil="true"/>
    <e9314abb35824088ad34bc458a77e4eb xmlns="0246a2b8-9b20-48ad-98f9-08cd18bc5df4">
      <Terms xmlns="http://schemas.microsoft.com/office/infopath/2007/PartnerControls"/>
    </e9314abb35824088ad34bc458a77e4eb>
    <TaxCatchAll xmlns="0246a2b8-9b20-48ad-98f9-08cd18bc5df4">
      <Value>1</Value>
    </TaxCatchAll>
    <Address_x002f_Locale xmlns="0246a2b8-9b20-48ad-98f9-08cd18bc5df4" xsi:nil="true"/>
    <l96c1da9e2e14aa3bb8e1700ae53d02b xmlns="0246a2b8-9b20-48ad-98f9-08cd18bc5df4">
      <Terms xmlns="http://schemas.microsoft.com/office/infopath/2007/PartnerControls"/>
    </l96c1da9e2e14aa3bb8e1700ae53d02b>
    <ACWD_x0020_Lead_x0020_Person xmlns="0246a2b8-9b20-48ad-98f9-08cd18bc5df4" xsi:nil="true"/>
    <GO2Synopsis xmlns="0246a2b8-9b20-48ad-98f9-08cd18bc5df4" xsi:nil="true"/>
    <g5afea61dc9346f5b738e24b3f6db026 xmlns="0246a2b8-9b20-48ad-98f9-08cd18bc5df4">
      <Terms xmlns="http://schemas.microsoft.com/office/infopath/2007/PartnerControls"/>
    </g5afea61dc9346f5b738e24b3f6db026>
    <Job_x0020_number xmlns="0246a2b8-9b20-48ad-98f9-08cd18bc5d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4610901A827248488844B6325AF78F3B0B00E2344E0B1787384887F294545D6D0B8E" ma:contentTypeVersion="74" ma:contentTypeDescription="Generic document used in producing/documenting a business process" ma:contentTypeScope="" ma:versionID="55d7bc22a104293baa7f13010550a19f">
  <xsd:schema xmlns:xsd="http://www.w3.org/2001/XMLSchema" xmlns:xs="http://www.w3.org/2001/XMLSchema" xmlns:p="http://schemas.microsoft.com/office/2006/metadata/properties" xmlns:ns2="0246a2b8-9b20-48ad-98f9-08cd18bc5df4" xmlns:ns4="383c28d1-f23c-49d2-b651-d2322362b6ac" targetNamespace="http://schemas.microsoft.com/office/2006/metadata/properties" ma:root="true" ma:fieldsID="ada56fadda234c90f76e32d990d5b32e" ns2:_="" ns4:_="">
    <xsd:import namespace="0246a2b8-9b20-48ad-98f9-08cd18bc5df4"/>
    <xsd:import namespace="383c28d1-f23c-49d2-b651-d2322362b6ac"/>
    <xsd:element name="properties">
      <xsd:complexType>
        <xsd:sequence>
          <xsd:element name="documentManagement">
            <xsd:complexType>
              <xsd:all>
                <xsd:element ref="ns2:GO2Synopsis" minOccurs="0"/>
                <xsd:element ref="ns2:GO2DocumentOwner" minOccurs="0"/>
                <xsd:element ref="ns2:RecordDate" minOccurs="0"/>
                <xsd:element ref="ns2:Parties" minOccurs="0"/>
                <xsd:element ref="ns2:Address_x002f_Locale" minOccurs="0"/>
                <xsd:element ref="ns2:ACWD_x0020_Lead_x0020_Person" minOccurs="0"/>
                <xsd:element ref="ns2:Classification" minOccurs="0"/>
                <xsd:element ref="ns2:Job_x0020_number" minOccurs="0"/>
                <xsd:element ref="ns2:l96c1da9e2e14aa3bb8e1700ae53d02b" minOccurs="0"/>
                <xsd:element ref="ns2:GO2BusinessUnit_0" minOccurs="0"/>
                <xsd:element ref="ns2:TaxCatchAll" minOccurs="0"/>
                <xsd:element ref="ns2:TaxCatchAllLabel" minOccurs="0"/>
                <xsd:element ref="ns2:g5afea61dc9346f5b738e24b3f6db026" minOccurs="0"/>
                <xsd:element ref="ns2:a0ed4e9730ff47178037e20bee36713d" minOccurs="0"/>
                <xsd:element ref="ns2:GO2DocumentType_0" minOccurs="0"/>
                <xsd:element ref="ns2:p8b16c921f0947cfa26bbd5f4a5db6c1" minOccurs="0"/>
                <xsd:element ref="ns2:e9314abb35824088ad34bc458a77e4eb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6a2b8-9b20-48ad-98f9-08cd18bc5df4" elementFormDefault="qualified">
    <xsd:import namespace="http://schemas.microsoft.com/office/2006/documentManagement/types"/>
    <xsd:import namespace="http://schemas.microsoft.com/office/infopath/2007/PartnerControls"/>
    <xsd:element name="GO2Synopsis" ma:index="2" nillable="true" ma:displayName="Synopsis" ma:internalName="GO2Synopsis" ma:readOnly="false">
      <xsd:simpleType>
        <xsd:restriction base="dms:Note">
          <xsd:maxLength value="255"/>
        </xsd:restriction>
      </xsd:simpleType>
    </xsd:element>
    <xsd:element name="GO2DocumentOwner" ma:index="3" nillable="true" ma:displayName="Document Owner" ma:list="UserInfo" ma:SharePointGroup="0" ma:internalName="GO2Docum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cordDate" ma:index="4" nillable="true" ma:displayName="Record Date" ma:default="[today]" ma:format="DateOnly" ma:internalName="RecordDate" ma:readOnly="false">
      <xsd:simpleType>
        <xsd:restriction base="dms:DateTime"/>
      </xsd:simpleType>
    </xsd:element>
    <xsd:element name="Parties" ma:index="11" nillable="true" ma:displayName="Parties" ma:internalName="Parties" ma:readOnly="false">
      <xsd:simpleType>
        <xsd:restriction base="dms:Text">
          <xsd:maxLength value="255"/>
        </xsd:restriction>
      </xsd:simpleType>
    </xsd:element>
    <xsd:element name="Address_x002f_Locale" ma:index="12" nillable="true" ma:displayName="Address/Locale" ma:internalName="Address_x002F_Locale" ma:readOnly="false">
      <xsd:simpleType>
        <xsd:restriction base="dms:Text">
          <xsd:maxLength value="255"/>
        </xsd:restriction>
      </xsd:simpleType>
    </xsd:element>
    <xsd:element name="ACWD_x0020_Lead_x0020_Person" ma:index="13" nillable="true" ma:displayName="ACWD Lead Person" ma:internalName="ACWD_x0020_Lead_x0020_Person" ma:readOnly="false">
      <xsd:simpleType>
        <xsd:restriction base="dms:Text">
          <xsd:maxLength value="255"/>
        </xsd:restriction>
      </xsd:simpleType>
    </xsd:element>
    <xsd:element name="Classification" ma:index="14" nillable="true" ma:displayName="Classification" ma:format="Dropdown" ma:internalName="Classification" ma:readOnly="false">
      <xsd:simpleType>
        <xsd:union memberTypes="dms:Text">
          <xsd:simpleType>
            <xsd:restriction base="dms:Choice">
              <xsd:enumeration value="Drought Surcharge"/>
              <xsd:enumeration value="ICMA"/>
              <xsd:enumeration value="Meter Summary"/>
              <xsd:enumeration value="Presentation"/>
              <xsd:enumeration value="Prop 218"/>
              <xsd:enumeration value="Rate and Fee Schedule"/>
              <xsd:enumeration value="Resolution"/>
              <xsd:enumeration value="State Property Tax Request"/>
              <xsd:enumeration value="Survey"/>
              <xsd:enumeration value="SWP Update"/>
              <xsd:enumeration value="Water Consumption"/>
            </xsd:restriction>
          </xsd:simpleType>
        </xsd:union>
      </xsd:simpleType>
    </xsd:element>
    <xsd:element name="Job_x0020_number" ma:index="19" nillable="true" ma:displayName="Job number" ma:internalName="Job_x0020_number" ma:readOnly="false">
      <xsd:simpleType>
        <xsd:restriction base="dms:Text">
          <xsd:maxLength value="255"/>
        </xsd:restriction>
      </xsd:simpleType>
    </xsd:element>
    <xsd:element name="l96c1da9e2e14aa3bb8e1700ae53d02b" ma:index="20" nillable="true" ma:taxonomy="true" ma:internalName="l96c1da9e2e14aa3bb8e1700ae53d02b" ma:taxonomyFieldName="Programs" ma:displayName="Programs" ma:readOnly="false" ma:fieldId="{596c1da9-e2e1-4aa3-bb8e-1700ae53d02b}" ma:sspId="670250b4-aa91-48d3-a067-094c58dbf8af" ma:termSetId="c7d1ccb5-45c4-40a9-914d-33ec53e8ae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O2BusinessUnit_0" ma:index="23" ma:taxonomy="true" ma:internalName="GO2BusinessUnit_0" ma:taxonomyFieldName="GO2BusinessUnit" ma:displayName="Business Unit" ma:readOnly="false" ma:default="-1;#Bud ＆ Fin Analysis|93eb7100-b770-49ab-a281-a8a7e04dc73d" ma:fieldId="{53685371-474f-4941-5343-427573556e74}" ma:sspId="670250b4-aa91-48d3-a067-094c58dbf8af" ma:termSetId="7dad40d6-406b-45c7-895c-871ddd002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4" nillable="true" ma:displayName="Taxonomy Catch All Column" ma:hidden="true" ma:list="{50d85f0f-4cfa-4502-b812-b685a8daa38f}" ma:internalName="TaxCatchAll" ma:readOnly="false" ma:showField="CatchAllData" ma:web="0246a2b8-9b20-48ad-98f9-08cd18bc5d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5" nillable="true" ma:displayName="Taxonomy Catch All Column1" ma:hidden="true" ma:list="{50d85f0f-4cfa-4502-b812-b685a8daa38f}" ma:internalName="TaxCatchAllLabel" ma:readOnly="true" ma:showField="CatchAllDataLabel" ma:web="0246a2b8-9b20-48ad-98f9-08cd18bc5d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5afea61dc9346f5b738e24b3f6db026" ma:index="26" nillable="true" ma:taxonomy="true" ma:internalName="g5afea61dc9346f5b738e24b3f6db026" ma:taxonomyFieldName="Year" ma:displayName="Year" ma:readOnly="false" ma:fieldId="{05afea61-dc93-46f5-b738-e24b3f6db026}" ma:taxonomyMulti="true" ma:sspId="670250b4-aa91-48d3-a067-094c58dbf8af" ma:termSetId="96279d0b-7a46-45e8-b114-f7cee66619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0ed4e9730ff47178037e20bee36713d" ma:index="28" nillable="true" ma:taxonomy="true" ma:internalName="a0ed4e9730ff47178037e20bee36713d" ma:taxonomyFieldName="Agency" ma:displayName="Agency" ma:readOnly="false" ma:fieldId="{a0ed4e97-30ff-4717-8037-e20bee36713d}" ma:sspId="670250b4-aa91-48d3-a067-094c58dbf8af" ma:termSetId="25177468-1306-4a3a-b012-e2e2ce5712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O2DocumentType_0" ma:index="29" nillable="true" ma:taxonomy="true" ma:internalName="GO2DocumentType_0" ma:taxonomyFieldName="GO2DocumentType" ma:displayName="Document Type" ma:indexed="true" ma:readOnly="false" ma:fieldId="{53685371-474f-4941-5343-446f63547970}" ma:sspId="670250b4-aa91-48d3-a067-094c58dbf8af" ma:termSetId="08cac98a-d018-43a3-a45f-90c24ce95d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8b16c921f0947cfa26bbd5f4a5db6c1" ma:index="30" nillable="true" ma:taxonomy="true" ma:internalName="p8b16c921f0947cfa26bbd5f4a5db6c1" ma:taxonomyFieldName="LegacyTerm_Ndrive" ma:displayName="LegacyTerms" ma:indexed="true" ma:readOnly="false" ma:fieldId="{98b16c92-1f09-47cf-a26b-bd5f4a5db6c1}" ma:sspId="670250b4-aa91-48d3-a067-094c58dbf8af" ma:termSetId="7dad40d6-406b-45c7-895c-871ddd002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314abb35824088ad34bc458a77e4eb" ma:index="32" nillable="true" ma:taxonomy="true" ma:internalName="e9314abb35824088ad34bc458a77e4eb" ma:taxonomyFieldName="Facility" ma:displayName="Facility" ma:readOnly="false" ma:fieldId="{e9314abb-3582-4088-ad34-bc458a77e4eb}" ma:sspId="670250b4-aa91-48d3-a067-094c58dbf8af" ma:termSetId="af0e9aa1-49da-4551-9beb-e3c7710c9ae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c28d1-f23c-49d2-b651-d2322362b6ac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" ma:displayName="Title"/>
        <xsd:element ref="dc:subject" minOccurs="0" maxOccurs="1" ma:index="15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DCB409-84BA-4871-B554-07BFF09AC08A}">
  <ds:schemaRefs>
    <ds:schemaRef ds:uri="383c28d1-f23c-49d2-b651-d2322362b6ac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246a2b8-9b20-48ad-98f9-08cd18bc5df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933325D-49AB-47D2-BECD-B4492DF9C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031C92-BBAD-48F3-98EC-5F9FC57BB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46a2b8-9b20-48ad-98f9-08cd18bc5df4"/>
    <ds:schemaRef ds:uri="383c28d1-f23c-49d2-b651-d2322362b6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CIP Adopted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Santos</dc:creator>
  <cp:lastModifiedBy>Ethan Burch</cp:lastModifiedBy>
  <dcterms:created xsi:type="dcterms:W3CDTF">2023-12-11T17:59:44Z</dcterms:created>
  <dcterms:modified xsi:type="dcterms:W3CDTF">2023-12-14T19:10:15Z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0x0101004610901A827248488844B6325AF78F3B0B00E2344E0B1787384887F294545D6D0B8E</vt:lpwstr>
  </property>
  <property fmtid="{D5CDD505-2E9C-101B-9397-08002B2CF9AE}" pid="3" name="GO2DocumentType">
    <vt:lpwstr/>
  </property>
  <property fmtid="{D5CDD505-2E9C-101B-9397-08002B2CF9AE}" pid="4" name="Agency">
    <vt:lpwstr/>
  </property>
  <property fmtid="{D5CDD505-2E9C-101B-9397-08002B2CF9AE}" pid="5" name="Programs">
    <vt:lpwstr/>
  </property>
  <property fmtid="{D5CDD505-2E9C-101B-9397-08002B2CF9AE}" pid="6" name="jdda392c0e404cce967a03133da1e4ed">
    <vt:lpwstr/>
  </property>
  <property fmtid="{D5CDD505-2E9C-101B-9397-08002B2CF9AE}" pid="7" name="LegacyTerm_UDrive">
    <vt:lpwstr/>
  </property>
  <property fmtid="{D5CDD505-2E9C-101B-9397-08002B2CF9AE}" pid="8" name="GO2BusinessUnit">
    <vt:lpwstr>1;#Bud ＆ Fin Analysis|93eb7100-b770-49ab-a281-a8a7e04dc73d</vt:lpwstr>
  </property>
  <property fmtid="{D5CDD505-2E9C-101B-9397-08002B2CF9AE}" pid="9" name="Facility">
    <vt:lpwstr/>
  </property>
  <property fmtid="{D5CDD505-2E9C-101B-9397-08002B2CF9AE}" pid="10" name="bdd33152c87d4cf0aab49e62ab50d4a5">
    <vt:lpwstr/>
  </property>
  <property fmtid="{D5CDD505-2E9C-101B-9397-08002B2CF9AE}" pid="11" name="LegacyTerm_TDrive">
    <vt:lpwstr/>
  </property>
  <property fmtid="{D5CDD505-2E9C-101B-9397-08002B2CF9AE}" pid="12" name="LegacyTerm_Ndrive">
    <vt:lpwstr/>
  </property>
  <property fmtid="{D5CDD505-2E9C-101B-9397-08002B2CF9AE}" pid="13" name="Year">
    <vt:lpwstr/>
  </property>
</Properties>
</file>